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495" yWindow="2835" windowWidth="21600" windowHeight="11385" tabRatio="765"/>
  </bookViews>
  <sheets>
    <sheet name="FMAS LICITAÇÕES MAI 2022" sheetId="1" r:id="rId1"/>
  </sheets>
  <definedNames>
    <definedName name="_xlnm._FilterDatabase" localSheetId="0" hidden="1">'FMAS LICITAÇÕES MAI 2022'!#REF!</definedName>
  </definedNames>
  <calcPr calcId="145621"/>
</workbook>
</file>

<file path=xl/calcChain.xml><?xml version="1.0" encoding="utf-8"?>
<calcChain xmlns="http://schemas.openxmlformats.org/spreadsheetml/2006/main">
  <c r="AO41" i="1" l="1"/>
  <c r="AO49" i="1"/>
  <c r="AO51" i="1"/>
  <c r="AO53" i="1"/>
  <c r="AO59" i="1"/>
  <c r="AO71" i="1"/>
  <c r="AO73" i="1"/>
  <c r="AO74" i="1"/>
  <c r="AO77" i="1"/>
  <c r="AO78" i="1"/>
  <c r="AO79" i="1"/>
  <c r="AO89" i="1"/>
  <c r="AO90" i="1"/>
  <c r="AO91" i="1"/>
  <c r="AO92" i="1"/>
  <c r="AO95" i="1"/>
  <c r="AO96" i="1"/>
  <c r="AO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L63" i="1"/>
  <c r="AL64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L93" i="1"/>
  <c r="AL94" i="1"/>
  <c r="AL95" i="1"/>
  <c r="AL96" i="1"/>
  <c r="AL97" i="1"/>
  <c r="AL98" i="1"/>
  <c r="AL20" i="1"/>
  <c r="V99" i="1"/>
  <c r="O99" i="1"/>
  <c r="AL99" i="1" l="1"/>
  <c r="AN98" i="1"/>
  <c r="AN75" i="1"/>
  <c r="AO75" i="1" s="1"/>
  <c r="AN30" i="1"/>
  <c r="AN35" i="1"/>
  <c r="AN29" i="1"/>
  <c r="AN87" i="1"/>
  <c r="AO87" i="1" s="1"/>
  <c r="AN93" i="1"/>
  <c r="AO93" i="1" s="1"/>
  <c r="AN31" i="1"/>
  <c r="AN32" i="1"/>
  <c r="AN33" i="1"/>
  <c r="AN34" i="1"/>
  <c r="AN43" i="1"/>
  <c r="AN25" i="1"/>
  <c r="AN26" i="1"/>
  <c r="AN45" i="1"/>
  <c r="AN46" i="1"/>
  <c r="AN56" i="1"/>
  <c r="AN69" i="1"/>
  <c r="AN60" i="1"/>
  <c r="AN44" i="1"/>
  <c r="AN36" i="1"/>
  <c r="AN76" i="1"/>
  <c r="AO76" i="1" s="1"/>
  <c r="AN97" i="1"/>
  <c r="AO97" i="1" s="1"/>
  <c r="AN84" i="1"/>
  <c r="AO84" i="1" s="1"/>
  <c r="AN80" i="1"/>
  <c r="AO80" i="1" s="1"/>
  <c r="AN94" i="1"/>
  <c r="AO94" i="1" s="1"/>
  <c r="AN57" i="1"/>
  <c r="AN70" i="1"/>
  <c r="AN37" i="1"/>
  <c r="AN22" i="1"/>
  <c r="AN38" i="1"/>
  <c r="AN42" i="1"/>
  <c r="AN48" i="1"/>
  <c r="AN88" i="1" l="1"/>
  <c r="AO88" i="1" s="1"/>
  <c r="AN67" i="1"/>
  <c r="AN86" i="1"/>
  <c r="AO86" i="1" s="1"/>
  <c r="AN85" i="1"/>
  <c r="AO85" i="1" s="1"/>
  <c r="AN54" i="1"/>
  <c r="AN24" i="1"/>
  <c r="AN83" i="1"/>
  <c r="AO83" i="1" s="1"/>
  <c r="AN82" i="1"/>
  <c r="AO82" i="1" s="1"/>
  <c r="AN81" i="1"/>
  <c r="AO81" i="1" s="1"/>
  <c r="AN50" i="1"/>
  <c r="AO50" i="1" s="1"/>
  <c r="AN64" i="1" l="1"/>
  <c r="AN61" i="1" l="1"/>
  <c r="AN68" i="1"/>
  <c r="AN63" i="1"/>
  <c r="AO63" i="1" s="1"/>
  <c r="AN62" i="1"/>
  <c r="AN72" i="1"/>
  <c r="AO72" i="1" s="1"/>
  <c r="AN39" i="1"/>
  <c r="AM98" i="1"/>
  <c r="AO98" i="1" s="1"/>
  <c r="AM70" i="1"/>
  <c r="AO70" i="1" s="1"/>
  <c r="AM69" i="1"/>
  <c r="AO69" i="1" s="1"/>
  <c r="AM68" i="1"/>
  <c r="AO68" i="1" s="1"/>
  <c r="AM67" i="1"/>
  <c r="AO67" i="1" s="1"/>
  <c r="AM66" i="1"/>
  <c r="AO66" i="1" s="1"/>
  <c r="AM65" i="1"/>
  <c r="AO65" i="1" s="1"/>
  <c r="AM64" i="1"/>
  <c r="AO64" i="1" s="1"/>
  <c r="AM62" i="1"/>
  <c r="AO62" i="1" s="1"/>
  <c r="AM61" i="1"/>
  <c r="AM60" i="1"/>
  <c r="AO60" i="1" s="1"/>
  <c r="AM58" i="1"/>
  <c r="AO58" i="1" s="1"/>
  <c r="AM57" i="1"/>
  <c r="AO57" i="1" s="1"/>
  <c r="AM56" i="1"/>
  <c r="AO56" i="1" s="1"/>
  <c r="AM55" i="1"/>
  <c r="AO55" i="1" s="1"/>
  <c r="AM54" i="1"/>
  <c r="AO54" i="1" s="1"/>
  <c r="AM52" i="1"/>
  <c r="AO52" i="1" s="1"/>
  <c r="AM48" i="1"/>
  <c r="AO48" i="1" s="1"/>
  <c r="AM47" i="1"/>
  <c r="AO47" i="1" s="1"/>
  <c r="AM46" i="1"/>
  <c r="AO46" i="1" s="1"/>
  <c r="AM45" i="1"/>
  <c r="AO45" i="1" s="1"/>
  <c r="AM44" i="1"/>
  <c r="AO44" i="1" s="1"/>
  <c r="AM43" i="1"/>
  <c r="AO43" i="1" s="1"/>
  <c r="AM42" i="1"/>
  <c r="AO42" i="1" s="1"/>
  <c r="AM40" i="1"/>
  <c r="AO40" i="1" s="1"/>
  <c r="AM39" i="1"/>
  <c r="AM38" i="1"/>
  <c r="AO38" i="1" s="1"/>
  <c r="AM37" i="1"/>
  <c r="AO37" i="1" s="1"/>
  <c r="AM36" i="1"/>
  <c r="AO36" i="1" s="1"/>
  <c r="AM35" i="1"/>
  <c r="AO35" i="1" s="1"/>
  <c r="AM34" i="1"/>
  <c r="AO34" i="1" s="1"/>
  <c r="AM33" i="1"/>
  <c r="AO33" i="1" s="1"/>
  <c r="AM32" i="1"/>
  <c r="AO32" i="1" s="1"/>
  <c r="AM31" i="1"/>
  <c r="AO31" i="1" s="1"/>
  <c r="AM30" i="1"/>
  <c r="AO30" i="1" s="1"/>
  <c r="AM29" i="1"/>
  <c r="AO29" i="1" s="1"/>
  <c r="AM28" i="1"/>
  <c r="AO28" i="1" s="1"/>
  <c r="AM27" i="1"/>
  <c r="AO27" i="1" s="1"/>
  <c r="AM26" i="1"/>
  <c r="AO26" i="1" s="1"/>
  <c r="AM25" i="1"/>
  <c r="AO25" i="1" s="1"/>
  <c r="AM24" i="1"/>
  <c r="AO24" i="1" s="1"/>
  <c r="AM23" i="1"/>
  <c r="AO23" i="1" s="1"/>
  <c r="AM22" i="1"/>
  <c r="AO22" i="1" s="1"/>
  <c r="AM21" i="1"/>
  <c r="AO39" i="1" l="1"/>
  <c r="AO61" i="1"/>
  <c r="AO21" i="1"/>
  <c r="AM99" i="1"/>
  <c r="AN99" i="1"/>
  <c r="AG99" i="1"/>
  <c r="AH99" i="1"/>
  <c r="AO99" i="1" l="1"/>
</calcChain>
</file>

<file path=xl/sharedStrings.xml><?xml version="1.0" encoding="utf-8"?>
<sst xmlns="http://schemas.openxmlformats.org/spreadsheetml/2006/main" count="1886" uniqueCount="646">
  <si>
    <t xml:space="preserve">Modalidade </t>
  </si>
  <si>
    <t>Tipo</t>
  </si>
  <si>
    <t>Objeto</t>
  </si>
  <si>
    <t>Parte Contratada</t>
  </si>
  <si>
    <t>Fonte de Recursos</t>
  </si>
  <si>
    <t>Elemento de Despesa</t>
  </si>
  <si>
    <t>Nº Processo Administrativo</t>
  </si>
  <si>
    <t>Nº da Licitação</t>
  </si>
  <si>
    <t>Nº DOE da publicação do Edital</t>
  </si>
  <si>
    <t>Nº Contrato</t>
  </si>
  <si>
    <t>Data da assinatura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</si>
  <si>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</si>
  <si>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</si>
  <si>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</si>
  <si>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</si>
  <si>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</si>
  <si>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</si>
  <si>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</si>
  <si>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</si>
  <si>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>CNPJ/CPF da Parte Contratada</t>
  </si>
  <si>
    <t xml:space="preserve">Total Acumulado </t>
  </si>
  <si>
    <t>Especificações da Licitação</t>
  </si>
  <si>
    <t>Valor do Contrato após alteração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</si>
  <si>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</si>
  <si>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</si>
  <si>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</si>
  <si>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</si>
  <si>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</si>
  <si>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</si>
  <si>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</si>
  <si>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</si>
  <si>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</si>
  <si>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</si>
  <si>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</si>
  <si>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</si>
  <si>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</si>
  <si>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</si>
  <si>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</si>
  <si>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</si>
  <si>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</si>
  <si>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</si>
  <si>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</si>
  <si>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</si>
  <si>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(y)</t>
  </si>
  <si>
    <t>(z)</t>
  </si>
  <si>
    <t>(aa)</t>
  </si>
  <si>
    <t>(ac)</t>
  </si>
  <si>
    <t>(c )</t>
  </si>
  <si>
    <t>Valor contratado</t>
  </si>
  <si>
    <t>(r )</t>
  </si>
  <si>
    <t>PODER EXECUTIVO MUNICIPAL</t>
  </si>
  <si>
    <t>Especificações do Contrato</t>
  </si>
  <si>
    <t xml:space="preserve">Execução Financeira </t>
  </si>
  <si>
    <t>Parte Concedente</t>
  </si>
  <si>
    <t>Contrapartida</t>
  </si>
  <si>
    <t>(ab)</t>
  </si>
  <si>
    <t>(af)</t>
  </si>
  <si>
    <t>(ai)</t>
  </si>
  <si>
    <t>(aj)</t>
  </si>
  <si>
    <t>(ak)</t>
  </si>
  <si>
    <t>(am)</t>
  </si>
  <si>
    <t>(an)</t>
  </si>
  <si>
    <t xml:space="preserve"> DEMONSTRATIVO DE LICITAÇÕES, CONTRATOS  E OBRAS CONTRATADAS</t>
  </si>
  <si>
    <t>Nº do Convênio/Contrato</t>
  </si>
  <si>
    <t>RESOLUÇÃO Nº 87, DE 28 DE NOVEMBRO DE 2013 - TRIBUNAL DE CONTAS DO ESTADO DO ACRE</t>
  </si>
  <si>
    <t>Art. 57 - LF nº 8.666/93</t>
  </si>
  <si>
    <t>Apostilamento</t>
  </si>
  <si>
    <t>Art. 65, § 8º - LF nº 8.666/93</t>
  </si>
  <si>
    <t>Art. 65, caput e §§ 1º a 6º - LF nº 8.666/93</t>
  </si>
  <si>
    <t>(ae)</t>
  </si>
  <si>
    <t>(ag)</t>
  </si>
  <si>
    <t>Valor do reajuste</t>
  </si>
  <si>
    <t>% de reajuste</t>
  </si>
  <si>
    <t>Data da concessão do reajuste</t>
  </si>
  <si>
    <t>Especificações de Termo Aditivo ou Termo de Apostilamento</t>
  </si>
  <si>
    <t>Valor da despesa com a contratação</t>
  </si>
  <si>
    <t>(t)</t>
  </si>
  <si>
    <t xml:space="preserve">Nº do Termo </t>
  </si>
  <si>
    <t>(ad)</t>
  </si>
  <si>
    <t>(ah)</t>
  </si>
  <si>
    <t>Nº da Ata de Registro de Preços</t>
  </si>
  <si>
    <t>Vigência da Ata</t>
  </si>
  <si>
    <t>Registro de Preços</t>
  </si>
  <si>
    <t>(ao) = (am) + (an)</t>
  </si>
  <si>
    <t>(al) = (n) - (ah) + (ag) + (ak)</t>
  </si>
  <si>
    <t>Manual de Referência - Anexos IV, VI, VII, VIII e IX</t>
  </si>
  <si>
    <t>DISPENSA</t>
  </si>
  <si>
    <t>M.P</t>
  </si>
  <si>
    <t>SRP</t>
  </si>
  <si>
    <t xml:space="preserve">PROJURI 2013.02.000002 PROCESSO 123400042 </t>
  </si>
  <si>
    <t>DISPENSA DE LICITAÇÃO</t>
  </si>
  <si>
    <t>PARECER PROJURI/ 2015.02.0000331</t>
  </si>
  <si>
    <t xml:space="preserve">DISPENSA </t>
  </si>
  <si>
    <t>MP</t>
  </si>
  <si>
    <t>Locação de um imovel destinado a sede CRAS TANCREDO NEVES</t>
  </si>
  <si>
    <t>030/2013</t>
  </si>
  <si>
    <t>IMOBILIARIA FORTALEZA</t>
  </si>
  <si>
    <t>14.294.326.0001-83</t>
  </si>
  <si>
    <t>18.765.432/0001-59</t>
  </si>
  <si>
    <t>JOÃO ALVES MOREIRA</t>
  </si>
  <si>
    <t>021.778.972-20</t>
  </si>
  <si>
    <t>02.373.341/0001-38</t>
  </si>
  <si>
    <t>61.600.839/0001-55</t>
  </si>
  <si>
    <t>012/2015</t>
  </si>
  <si>
    <t>307.819.732-87</t>
  </si>
  <si>
    <t>RAIMUNDO NONATO SANTOS DA SILVA</t>
  </si>
  <si>
    <t>359.535.432-04</t>
  </si>
  <si>
    <t>17.483.432/0001-01</t>
  </si>
  <si>
    <t xml:space="preserve">Contratação de Empresa especializada na Contratação de Pessoa Juridica e serviços tercerizado de apoio administrativo e operacionais) </t>
  </si>
  <si>
    <t>Fundo a Fundo</t>
  </si>
  <si>
    <t>3.3.90.36.00</t>
  </si>
  <si>
    <t>3.3.90.39.00</t>
  </si>
  <si>
    <t>3.3.90.30.00</t>
  </si>
  <si>
    <t>3.3.90.32.00</t>
  </si>
  <si>
    <t>PRAZO</t>
  </si>
  <si>
    <t>REAJUSTE / PRAZO</t>
  </si>
  <si>
    <t>PRAZO / REAJUSTE</t>
  </si>
  <si>
    <t>014/2018</t>
  </si>
  <si>
    <t>PREGÃO Nº 056/2018</t>
  </si>
  <si>
    <t>039/2018</t>
  </si>
  <si>
    <t>PROCESSO Nº135/2018</t>
  </si>
  <si>
    <t>PREGÃO Nº027/2018</t>
  </si>
  <si>
    <t>17.337.136/0001-94</t>
  </si>
  <si>
    <t>05.511.061/0001-37</t>
  </si>
  <si>
    <t>Funda a Fundo</t>
  </si>
  <si>
    <t>PROCESSO Nº 053/2018</t>
  </si>
  <si>
    <t>096/2018</t>
  </si>
  <si>
    <t>ATA Nº013/2018</t>
  </si>
  <si>
    <t>l</t>
  </si>
  <si>
    <t>SERIAMES DAMASIO MOREIRA DE OLIVEIRA</t>
  </si>
  <si>
    <t>LINK CARD</t>
  </si>
  <si>
    <t>12.039.966/0001-11</t>
  </si>
  <si>
    <t>-</t>
  </si>
  <si>
    <t>Início da Ata</t>
  </si>
  <si>
    <t>Término da Ata</t>
  </si>
  <si>
    <t xml:space="preserve">Início da vigência do Contrato </t>
  </si>
  <si>
    <t xml:space="preserve">Término da vigência do Contrato </t>
  </si>
  <si>
    <t xml:space="preserve">Data da assinatura do Contrato </t>
  </si>
  <si>
    <t>Locação de Veículo, tipo Passeio, com condutor</t>
  </si>
  <si>
    <t xml:space="preserve">PRAZO </t>
  </si>
  <si>
    <t>050/2019</t>
  </si>
  <si>
    <t>PROCESSO ADMINISTRATIVO Nº 311/2018/DAFO</t>
  </si>
  <si>
    <t>PREGÃO SRP Nº 006/2018</t>
  </si>
  <si>
    <t>ATA Nº 001/2019</t>
  </si>
  <si>
    <t>Constitui objeto o serviço de implantação e operacionalização de sistema informatizado de abastecimento e administração de despesas de combustiveis em postos credenciados, mediante uso do cartão eletronico ou magnético e etiqueta com tecnoogia RFID ou similar.</t>
  </si>
  <si>
    <t xml:space="preserve">PRAZO/REAJUSTE </t>
  </si>
  <si>
    <t>TEC NEWS EIRELI - EPP</t>
  </si>
  <si>
    <t>045/2018</t>
  </si>
  <si>
    <t>KRONOS PROJETOS E SERVIÇOS LTDA - ME</t>
  </si>
  <si>
    <t>03.082.817/0001-44</t>
  </si>
  <si>
    <t>PROCESSO Nº105/2018</t>
  </si>
  <si>
    <t>046/2018</t>
  </si>
  <si>
    <t>14.480.259/0001-55</t>
  </si>
  <si>
    <t>Contrataçao de empresa especializada na prestação de serviços de atendente e orientação, supervisao e recepção.</t>
  </si>
  <si>
    <t>PREGÃO Nº 061/2018</t>
  </si>
  <si>
    <t>ATA Nº 025/2018</t>
  </si>
  <si>
    <t>ATA Nº 016/2018</t>
  </si>
  <si>
    <t>12.375</t>
  </si>
  <si>
    <t>ATA Nº 016/2019</t>
  </si>
  <si>
    <t>GAMA CONSTRUÇOES COM E REP. LTDA - EPP</t>
  </si>
  <si>
    <t>PREGÃO Nº 131.726/2019</t>
  </si>
  <si>
    <t>ATA Nº 003/2019/TCE</t>
  </si>
  <si>
    <t>09.374.006/0001-01</t>
  </si>
  <si>
    <t xml:space="preserve"> presente contrato tem como objeto aquisição de serviços Manutenção Predial Corretiva, com fornecimeto de materiais e mão de obra para atender as demandas das Unidades Administrativas do Departamento de Proteção Social Especial, da Secretaria Municipal de Assistência Social e Direitos Humanos – SASDH</t>
  </si>
  <si>
    <t>PROCESSO Nº  030/2019</t>
  </si>
  <si>
    <t>075/2019</t>
  </si>
  <si>
    <t>3.3.90.33.00</t>
  </si>
  <si>
    <t>083/2019</t>
  </si>
  <si>
    <t xml:space="preserve">MAIA PIMENTEL SERVIÇOS </t>
  </si>
  <si>
    <t>PROCESSO Nº 034/209/SASDH</t>
  </si>
  <si>
    <t>PREGÃO PRESENCIAL Nº  064/2018/CPL-02</t>
  </si>
  <si>
    <t xml:space="preserve">Contrataçao de empresa especializada em serviços tercerizados </t>
  </si>
  <si>
    <t>11.661.499/0001-02</t>
  </si>
  <si>
    <t>111/2015</t>
  </si>
  <si>
    <t>PROCESSO Nº 082/2019</t>
  </si>
  <si>
    <t>Processo nº 015/2015</t>
  </si>
  <si>
    <t>14.294.326/0001-83</t>
  </si>
  <si>
    <t xml:space="preserve">KELLE DE MELO </t>
  </si>
  <si>
    <t xml:space="preserve">LOCAÇÃO DE IMOVEL TANCREDO NEVES </t>
  </si>
  <si>
    <t xml:space="preserve">Aluguel de um imovel CRÁS NOVA ESTAÇÃO </t>
  </si>
  <si>
    <t>077/2019</t>
  </si>
  <si>
    <t>05.608.779/0001-46</t>
  </si>
  <si>
    <t>114/2019</t>
  </si>
  <si>
    <t>082/2019</t>
  </si>
  <si>
    <t>136/2019</t>
  </si>
  <si>
    <t>CRM REPRESENTAÇOES E SERVIÇOS LTDA - EPP</t>
  </si>
  <si>
    <t>84.324.748/0001-30</t>
  </si>
  <si>
    <t>PROCESSO Nº 034/2019</t>
  </si>
  <si>
    <t>PREGÃO N° 064/2018</t>
  </si>
  <si>
    <t xml:space="preserve">Contratação de Empresa especializada na Contratação de Pessoa Juridica e serviços tercerizados de limpezas </t>
  </si>
  <si>
    <t>SASDH</t>
  </si>
  <si>
    <t>PREGÃO N°427/2018</t>
  </si>
  <si>
    <t>PROCESSO Nº 033/2019</t>
  </si>
  <si>
    <t>PREGÃO Nº 428/2018</t>
  </si>
  <si>
    <t>PROCESSO Nº 016/2019/SASDH</t>
  </si>
  <si>
    <t>PREGÃO Nº 094/2018</t>
  </si>
  <si>
    <t>ATA Nº  080/2018</t>
  </si>
  <si>
    <t>ATA N°  004/2019</t>
  </si>
  <si>
    <t>101 e 117</t>
  </si>
  <si>
    <t>ATA Nº 080/2018</t>
  </si>
  <si>
    <t>ATA Nº 014/2019</t>
  </si>
  <si>
    <t>135/2019</t>
  </si>
  <si>
    <t xml:space="preserve">PROCESSO Nº </t>
  </si>
  <si>
    <t xml:space="preserve">O imóvel, objeto de locação, destina-se exclusivamente ao uso do Centro de Referência Especializado de Assistência Social –  SEDE SASDH </t>
  </si>
  <si>
    <t>PREGÃO Nº 061/2019</t>
  </si>
  <si>
    <t xml:space="preserve">IEL </t>
  </si>
  <si>
    <t>044/2020</t>
  </si>
  <si>
    <t>CIEE</t>
  </si>
  <si>
    <t>045/2020</t>
  </si>
  <si>
    <t>049/2020</t>
  </si>
  <si>
    <t>PROCESSO Nº 305/2019</t>
  </si>
  <si>
    <t>CHAMAMENTO PÚBLICO PARA CREDENCIAMENTO Nº 002/2020CEL/PMRB</t>
  </si>
  <si>
    <t xml:space="preserve">O presente contrato tem como objeto contratação e recrutamento de estudantes para estágio </t>
  </si>
  <si>
    <t>PROCESSO Nº 327/2019</t>
  </si>
  <si>
    <t>PREGÃO 005/2020</t>
  </si>
  <si>
    <t>ATA Nº 002/2020</t>
  </si>
  <si>
    <t>29.422.974/0001-45</t>
  </si>
  <si>
    <t>O presente contrato tem como objeto aquisição de carne e frango   e para atender as demandas das Unidades Administrativas do Departamento de Proteção Social Especial, da Secretaria Municipal de Assistência Social e Direitos Humanos – SASDH</t>
  </si>
  <si>
    <t>RBR TRANSPORTES</t>
  </si>
  <si>
    <t>052/2020</t>
  </si>
  <si>
    <t>PROCESSO Nº 108/2020</t>
  </si>
  <si>
    <t>PREGÃO Nº 23/2020</t>
  </si>
  <si>
    <t xml:space="preserve"> O presente contrato tem como objetivo atender as demandas das Unidades Administrativas da Secretaria Municipal de Assistência Social e Direitos Humanos  SASDH com Passagens Terretres </t>
  </si>
  <si>
    <t>ATA Nº 004/2020</t>
  </si>
  <si>
    <t>10.932.538/0001-98</t>
  </si>
  <si>
    <t xml:space="preserve">W.O PEREIRA </t>
  </si>
  <si>
    <t xml:space="preserve">O presente contrato tem como objetivo atender as demandas das Unidades Administrativas da Secretaria Municipal de Assistência Social e Direitos Humanos  SASDH- Locação de Veiculos </t>
  </si>
  <si>
    <t>058/2020</t>
  </si>
  <si>
    <t>053/2020</t>
  </si>
  <si>
    <t>PROCESSO Nº 358/2019</t>
  </si>
  <si>
    <t>PREGÃO Nº  016/2020</t>
  </si>
  <si>
    <t>ATA Nº 005/2020</t>
  </si>
  <si>
    <t>101,117 e 126</t>
  </si>
  <si>
    <t>055/2020</t>
  </si>
  <si>
    <t>17.189.998/0001/17</t>
  </si>
  <si>
    <t>14.009.721/000177</t>
  </si>
  <si>
    <t>O presente contrato tem como objetivo atender as demandas das Unidades Administrativas da Secretaria Municipal de Assistência Social e Direitos Humanos  SASDH aquisição de</t>
  </si>
  <si>
    <t>PREGÃO Nº 016/2020</t>
  </si>
  <si>
    <t>ATA Nº  005/2020</t>
  </si>
  <si>
    <t>PROCESSO N° 054/2020</t>
  </si>
  <si>
    <t>PREGÃO Nº 16/2020</t>
  </si>
  <si>
    <t xml:space="preserve">O presente contrato tem como objetivo atender as demandas das Unidades Administrativas da Secretaria Municipal de Assistência Social e Direitos Humanos  SASDH com prestação de serviços tercerizados  em apoio administrativo e operacional. </t>
  </si>
  <si>
    <t xml:space="preserve">ISAO CONSULTORIA  </t>
  </si>
  <si>
    <t xml:space="preserve">EFFORTE/ A PAIVA </t>
  </si>
  <si>
    <t>054/2020</t>
  </si>
  <si>
    <t>101, 117 e 126</t>
  </si>
  <si>
    <t>3.3.90..39.00</t>
  </si>
  <si>
    <t>PREGÃO Nº 032/2020</t>
  </si>
  <si>
    <t>ATA Nº  002/2020</t>
  </si>
  <si>
    <t>091/2020</t>
  </si>
  <si>
    <t xml:space="preserve">PINTO &amp; CIA LTDA - ME </t>
  </si>
  <si>
    <t>092/2020</t>
  </si>
  <si>
    <t>PROCESSO Nº  327/2019</t>
  </si>
  <si>
    <t>PREGÃO Nº  005/2020</t>
  </si>
  <si>
    <t xml:space="preserve">LOCAÇÃO DE VEICULO TIPO CAMINHÃO </t>
  </si>
  <si>
    <t>07.909.967/0001-30</t>
  </si>
  <si>
    <t>17.337.136/001-94</t>
  </si>
  <si>
    <t>O presente contrato tem como objetivo atender as demandas das Unidades Administrativas da Secretaria Municipal de Assistência Social e Direitos Humanos SASDH  referente a locação de veiculo com condutor</t>
  </si>
  <si>
    <t>117e 101</t>
  </si>
  <si>
    <t>042/2020</t>
  </si>
  <si>
    <t xml:space="preserve">R &amp; N LIMA LTDA - ME </t>
  </si>
  <si>
    <t>11.060.224.0001-05</t>
  </si>
  <si>
    <t>075/2020</t>
  </si>
  <si>
    <t xml:space="preserve">MORADA DA PAZ </t>
  </si>
  <si>
    <t>077/2020</t>
  </si>
  <si>
    <t>02..688.986/0001-60</t>
  </si>
  <si>
    <t>05.396.858.0001-30</t>
  </si>
  <si>
    <t>FUNERÁRIA SÃO JOÃO BATISTA</t>
  </si>
  <si>
    <t>PROCESSO N º  142/2020</t>
  </si>
  <si>
    <t>CHAMAMENTO PÚBLICO N º 004/2020</t>
  </si>
  <si>
    <t xml:space="preserve">O presente contrato tem como objetivo atender as demandas das Unidades Administrativas da Secretaria Municipal de Assistência Social e Direitos Humanos SASDH - Serviços funerários. </t>
  </si>
  <si>
    <t xml:space="preserve">O presente contrato tem como objetivo atender as demandas das Unidades Administrativas da Secretaria Municipal de Assistência Social e Direitos Humanos SASDH - serviços funerários. </t>
  </si>
  <si>
    <t>O presente contrato tem como objetivo atender as demandas das Unidades Administrativas da Secretaria Municipal de Assistência Social e Direitos Humanos SASDH - Pelicula fumê</t>
  </si>
  <si>
    <t>PROCESSO N º 001/2020</t>
  </si>
  <si>
    <t>PREGÃO Nº 097/2019</t>
  </si>
  <si>
    <t xml:space="preserve">ATA Nº 053/2019/SEMSA </t>
  </si>
  <si>
    <t>13//04/2021</t>
  </si>
  <si>
    <t xml:space="preserve">OUTRAS DESPESAS( CONTRATOS TEMPORARIOS, DEPASA, CONVENIOS, TAXAS, DIÁRIAS,IPTU, AUXILIO MORADIA. </t>
  </si>
  <si>
    <t>W L OLIVEIRA EIRELI</t>
  </si>
  <si>
    <t>TECSERV - TERCEIRIZAÇÃO, COMERCIO E SERVIÇOS LTDA</t>
  </si>
  <si>
    <t xml:space="preserve">BOTELHO SERVIÇO E COMERCIO EIRELI </t>
  </si>
  <si>
    <t>23.124.452/0001-80</t>
  </si>
  <si>
    <t>013/2021</t>
  </si>
  <si>
    <t>ATA Nº 025/2020</t>
  </si>
  <si>
    <t>PROCESSO N º 263/2020</t>
  </si>
  <si>
    <t>SIOLMAR GABRIELA PASCUALINIPIERRIN E CIA LTDA</t>
  </si>
  <si>
    <t>11.377.867/0001-87</t>
  </si>
  <si>
    <t>003/2021</t>
  </si>
  <si>
    <t>AUGUSTO S DE ARAUJO - EIRELI</t>
  </si>
  <si>
    <t xml:space="preserve">M. C COMERCIO DE ALIMENTAÇÃO </t>
  </si>
  <si>
    <t>PREGÃO Nº 050/2020</t>
  </si>
  <si>
    <t xml:space="preserve">O presente contrato tem como objetivo atender as demandas das Unidades Administrativas da Secretaria Municipal de Assistência Social e Direitos Humanos - KIT CAFÉ DA MANHA </t>
  </si>
  <si>
    <t>PROCESSO N º  154/2020</t>
  </si>
  <si>
    <t>PREGÃO Nº 045/2020</t>
  </si>
  <si>
    <t xml:space="preserve">O presente contrato tem como objetivo atender as demandas das Unidades Administrativas da Secretaria Municipal de Assistência Social e Direitos Humanos - COLCHÃO TIPO SOLTEIRO </t>
  </si>
  <si>
    <t xml:space="preserve">O presente contrato tem como objetivo atender as demandas das Unidades Administrativas da Secretaria Municipal de Assistência Social e Direitos Humanos - GÁS LIQUEFEITO - VASILHAME </t>
  </si>
  <si>
    <t>ATA Nº 018/2020</t>
  </si>
  <si>
    <t>PROCESSO N º 159/2020</t>
  </si>
  <si>
    <t>PREGÃO Nº 042/2020</t>
  </si>
  <si>
    <t>PROCESSO N º 142/2020</t>
  </si>
  <si>
    <t xml:space="preserve">REAJUSTE </t>
  </si>
  <si>
    <t>J. G. CHASSOT</t>
  </si>
  <si>
    <t>PROCESSO N º 265/2020</t>
  </si>
  <si>
    <t>ATA Nº 024/2020</t>
  </si>
  <si>
    <t>016/2021</t>
  </si>
  <si>
    <t>PROCESSO Nº 265/2020</t>
  </si>
  <si>
    <t xml:space="preserve">PREGÃO Nº </t>
  </si>
  <si>
    <t>027/2021</t>
  </si>
  <si>
    <t>012/2021</t>
  </si>
  <si>
    <t>PROCESSO Nº358/2019</t>
  </si>
  <si>
    <t>ATA Nº  005/2021</t>
  </si>
  <si>
    <t>PROCESSO N° 358/2019</t>
  </si>
  <si>
    <t>SANCAR COMERCIO</t>
  </si>
  <si>
    <t>08.805.247/0001-97</t>
  </si>
  <si>
    <t>IF LOCAÇÕES</t>
  </si>
  <si>
    <t>17.337.136/0001-95</t>
  </si>
  <si>
    <t>01.353.640/0001-48</t>
  </si>
  <si>
    <t>11/02/221</t>
  </si>
  <si>
    <t>PREGÃO Nº  049/2020/SASDH</t>
  </si>
  <si>
    <t>017/2020</t>
  </si>
  <si>
    <t>054/2021</t>
  </si>
  <si>
    <t>14.009.721/0001-77</t>
  </si>
  <si>
    <t>03.082.817/0001-45</t>
  </si>
  <si>
    <t>3.3.90.39.01</t>
  </si>
  <si>
    <t>.01</t>
  </si>
  <si>
    <t>.02</t>
  </si>
  <si>
    <t>.12</t>
  </si>
  <si>
    <t>.13</t>
  </si>
  <si>
    <t>.16</t>
  </si>
  <si>
    <t>.17</t>
  </si>
  <si>
    <t>.18</t>
  </si>
  <si>
    <t>.19</t>
  </si>
  <si>
    <t>.20</t>
  </si>
  <si>
    <t>.21</t>
  </si>
  <si>
    <t>.23</t>
  </si>
  <si>
    <t>.24</t>
  </si>
  <si>
    <t>.25</t>
  </si>
  <si>
    <t>.26</t>
  </si>
  <si>
    <t>.27</t>
  </si>
  <si>
    <t>.29</t>
  </si>
  <si>
    <t>.32</t>
  </si>
  <si>
    <t>.33</t>
  </si>
  <si>
    <t>.34</t>
  </si>
  <si>
    <t>.35</t>
  </si>
  <si>
    <t>.37</t>
  </si>
  <si>
    <t>.39</t>
  </si>
  <si>
    <t>.40</t>
  </si>
  <si>
    <t>.42</t>
  </si>
  <si>
    <t>.43</t>
  </si>
  <si>
    <t>.44</t>
  </si>
  <si>
    <t>.45</t>
  </si>
  <si>
    <t>.46</t>
  </si>
  <si>
    <t>.50</t>
  </si>
  <si>
    <t>.52</t>
  </si>
  <si>
    <t>.53</t>
  </si>
  <si>
    <t>.54</t>
  </si>
  <si>
    <t>.55</t>
  </si>
  <si>
    <t>.56</t>
  </si>
  <si>
    <t>.59</t>
  </si>
  <si>
    <t>.60</t>
  </si>
  <si>
    <t>.62</t>
  </si>
  <si>
    <t>J. O. NASCIMENTO</t>
  </si>
  <si>
    <t>100/2021</t>
  </si>
  <si>
    <t>PROCESSO N º 035/2020</t>
  </si>
  <si>
    <t>PREGÃO Nº 151/2019</t>
  </si>
  <si>
    <t>ATA Nº 021/2020</t>
  </si>
  <si>
    <t>19.354.136/0001-28</t>
  </si>
  <si>
    <t>PROCESSO N° 054/2021</t>
  </si>
  <si>
    <t>PREGÃO Nº 16/2021</t>
  </si>
  <si>
    <t>005/2021</t>
  </si>
  <si>
    <t>14.009.721/000178</t>
  </si>
  <si>
    <t>019/2021</t>
  </si>
  <si>
    <t>ATA Nº 023/2020</t>
  </si>
  <si>
    <t>PROCESSO N º 135/2020</t>
  </si>
  <si>
    <t>PREGÃO Nº 026/2020</t>
  </si>
  <si>
    <t>04.361.899/0001-29</t>
  </si>
  <si>
    <t>030/2021</t>
  </si>
  <si>
    <t>ACRETEC</t>
  </si>
  <si>
    <t>04.475.329/0001-60</t>
  </si>
  <si>
    <t>PROCESSO N º 001/2021</t>
  </si>
  <si>
    <t>ATA Nº 014/2020</t>
  </si>
  <si>
    <t>PREGÃO Nº 106/2019</t>
  </si>
  <si>
    <t>024/2021</t>
  </si>
  <si>
    <t>ALBERTO FELICIO ABRAHAO LTDA</t>
  </si>
  <si>
    <t>84.304.112/0001-26</t>
  </si>
  <si>
    <t>ATA Nº 015/2020</t>
  </si>
  <si>
    <t>PROCESSO N º 154/2020</t>
  </si>
  <si>
    <t>NORTE - CENTRO DE DE DISTRIBUIÇÃO DE MERCADORIAS EM GERAL</t>
  </si>
  <si>
    <t>21.813.150/0001-94</t>
  </si>
  <si>
    <t>031/2021</t>
  </si>
  <si>
    <t>PROCESSO N º 027/2021</t>
  </si>
  <si>
    <t>PREGÃO Nº 009/2020</t>
  </si>
  <si>
    <t>ATA Nº 089/2020</t>
  </si>
  <si>
    <t>PROCESSO N º 155/2020</t>
  </si>
  <si>
    <t>036/2021</t>
  </si>
  <si>
    <t xml:space="preserve">SOUZA E PASTOR </t>
  </si>
  <si>
    <t>34.710.145/0001-06</t>
  </si>
  <si>
    <t>ATA Nº 001/2021</t>
  </si>
  <si>
    <t>PREGÃO Nº 062/2020</t>
  </si>
  <si>
    <t>PROCESSO N º 051/2021</t>
  </si>
  <si>
    <t>101, 106 e 117</t>
  </si>
  <si>
    <t>G. R. D AROSA - EPP</t>
  </si>
  <si>
    <t>09.179.593/0001-70</t>
  </si>
  <si>
    <t>007/2021</t>
  </si>
  <si>
    <t xml:space="preserve">E C O MOURA </t>
  </si>
  <si>
    <t>28.572.074/0001-11</t>
  </si>
  <si>
    <t>PROCESSO N º 155/2020/CEL/PMRB</t>
  </si>
  <si>
    <t>ATA Nº 6/2020/SASDH</t>
  </si>
  <si>
    <t>020/2021</t>
  </si>
  <si>
    <t>ATA Nº 010/2020</t>
  </si>
  <si>
    <t xml:space="preserve">O presente contrato tem como objetivo atender as demandas das Unidades Administrativas da Secretaria Municipal de Assistência Social e Direitos Humanos - MATERIAIS ELETRICOS  </t>
  </si>
  <si>
    <t xml:space="preserve">O presente contrato tem como objetivo atender as demandas das Unidades Administrativas da Secretaria Municipal de Assistência Social e Direitos Humanos - GÊNERO ALIMENTÍCIO </t>
  </si>
  <si>
    <t xml:space="preserve">O presente contrato tem como objetivo atender as demandas das Unidades Administrativas da Secretaria Municipal de Assistência Social e Direitos Humanos - RECEPCIONISTA E ATENDENTES </t>
  </si>
  <si>
    <t xml:space="preserve">O presente contrato tem como objetivo atender as demandas das Unidades Administrativas da Secretaria Municipal de Assistência Social e Direitos Humanos - TRAVESSEIROS </t>
  </si>
  <si>
    <t>O presente contrato tem como objetivo atender as demandas das Unidades Administrativas da Secretaria Municipal de Assistência Social e Direitos Humanos - ÁGUA</t>
  </si>
  <si>
    <t>O presente contrato tem como objetivo atender as demandas das Unidades Administrativas da Secretaria Municipal de Assistência Social e Direitos Humanos - EQUIPAMENTOS DE INFORMÁTICA</t>
  </si>
  <si>
    <t>O presente contrato tem como objetivo atender as demandas das Unidades Administrativas da Secretaria Municipal de Assistência Social e Direitos Humanos - AGENTE DE PORTARIA E RECEPCIONISTA</t>
  </si>
  <si>
    <t>O presente contrato tem como objetivo atender as demandas das Unidades Administrativas da Secretaria Municipal de Assistência Social e Direitos Humanos - GÊNEROS ALIMENTÍCIOS PERECÍIVEIS</t>
  </si>
  <si>
    <t xml:space="preserve">O presente contrato tem como objetivo atender as demandas das Unidades Administrativas da Secretaria Municipal de Assistência Social e Direitos Humanos - GÊNEROS ALIMENTÍCIOS </t>
  </si>
  <si>
    <t>O presente contrato tem como objetivo atender as demandas das Unidades Administrativas da Secretaria Municipal de Assistência Social e Direitos Humanos - GÊNEROS ALIMENTÍCIOS</t>
  </si>
  <si>
    <t>PREGÃO Nº  032/2020</t>
  </si>
  <si>
    <t>ATA Nº  006/2020</t>
  </si>
  <si>
    <t>006/2021</t>
  </si>
  <si>
    <t>D. L. RAMOS - ME</t>
  </si>
  <si>
    <t>PREGÃO Nº  042/2020</t>
  </si>
  <si>
    <t>ATA Nº  018/2020</t>
  </si>
  <si>
    <t>040/2021</t>
  </si>
  <si>
    <t>O presente contrato tem como objetivo atender as demandas das Unidades Administrativas da Secretaria Municipal de Assistência Social e Direitos Humanos - AGUA MINERAL</t>
  </si>
  <si>
    <t>PROCESSO N º 045/2020</t>
  </si>
  <si>
    <t>PREGÃO Nº  147/2020</t>
  </si>
  <si>
    <t>O presente contrato tem como objetivo atender as demandas das Unidades Administrativas da Secretaria Municipal de Assistência Social e Direitos Humanos - VIAGENS TERRESTRES</t>
  </si>
  <si>
    <t>ATA Nº  212/2020</t>
  </si>
  <si>
    <t>089/2020</t>
  </si>
  <si>
    <t>PROCESSO N º 040/2021</t>
  </si>
  <si>
    <t>PREGÃO Nº  012/2021</t>
  </si>
  <si>
    <t>ATA Nº   011/2021</t>
  </si>
  <si>
    <t>035/2021</t>
  </si>
  <si>
    <t>PROCESSO N º 358/2019</t>
  </si>
  <si>
    <t>ATA Nº   005/2020</t>
  </si>
  <si>
    <t xml:space="preserve">JF COMERCIO </t>
  </si>
  <si>
    <t>03.383.410/0001-57</t>
  </si>
  <si>
    <t>05.146.814/0001-52</t>
  </si>
  <si>
    <t>PREGÃO Nº  016/2021</t>
  </si>
  <si>
    <t>PROCESSO N º 086/2021</t>
  </si>
  <si>
    <t>O presente contrato tem como objetivo atender as demandas das Unidades Administrativas da Secretaria Municipal de Assistência Social e Direitos Humanos - MATERIAIS DE CONSUMO</t>
  </si>
  <si>
    <t xml:space="preserve">O presente contrato tem como objetivo atender as demandas das Unidades Administrativas da Secretaria Municipal de Assistência Social e Direitos Humanos - PRESTADOR DE SERVIÇO  </t>
  </si>
  <si>
    <t>ATA Nº   001/2021</t>
  </si>
  <si>
    <t>042/2021</t>
  </si>
  <si>
    <t>G. SANTOS DA SILVA EIRELI</t>
  </si>
  <si>
    <t>043/2021</t>
  </si>
  <si>
    <t>ATA Nº   089/2020</t>
  </si>
  <si>
    <t>O presente contrato tem como objetivo atender as demandas das Unidades Administrativas da Secretaria Municipal de Assistência Social e Direitos Humanos - APOIO ADMINISTRATIVO E OPERACIONAL</t>
  </si>
  <si>
    <t>PREGÃO Nº  009/2020</t>
  </si>
  <si>
    <t>MASTER SERVIÇOS EIRELI - EPP</t>
  </si>
  <si>
    <t>PROCESSO N º 081/2021</t>
  </si>
  <si>
    <t>20.276.206/0001-56</t>
  </si>
  <si>
    <t>14.317.275/0001-68</t>
  </si>
  <si>
    <t>REAJUSTE</t>
  </si>
  <si>
    <t xml:space="preserve">I9 SOLUÇOES DO BRASIL </t>
  </si>
  <si>
    <t>O presente contrato tem como objetivo atender as demandas das Unidades Administrativas da Secretaria Municipal de Assistência Social e Direitos Humanos - MANUTENÇÃO PREVENTIVA</t>
  </si>
  <si>
    <t>ACRE FRIO AR-CONDICIONADO</t>
  </si>
  <si>
    <t>10.889815/0001-27</t>
  </si>
  <si>
    <t>PROCESSO N º 076/2021</t>
  </si>
  <si>
    <t>PREGÃO Nº 029/2020</t>
  </si>
  <si>
    <t>ATA Nº   024/2020</t>
  </si>
  <si>
    <t>046/2021</t>
  </si>
  <si>
    <t>3.3.90.39.00 3.3.90.30.00</t>
  </si>
  <si>
    <t>Executado até o exercício anterior 2021</t>
  </si>
  <si>
    <t xml:space="preserve"> Executado no Exercício 2022</t>
  </si>
  <si>
    <t xml:space="preserve">O presente contrato tem como objetivo atender as demandas das Unidades Administrativas da Secretaria Municipal de Assistência Social e Direitos Humanos - MATERIAL DE CONSUMO </t>
  </si>
  <si>
    <t>PROCESSO N º 013/2021</t>
  </si>
  <si>
    <t>PREGÃO Nº023/2021</t>
  </si>
  <si>
    <t>ATA Nº   006/2021</t>
  </si>
  <si>
    <t>053/2021</t>
  </si>
  <si>
    <t>RICHARD S MIRANDA - ME</t>
  </si>
  <si>
    <t>07.650.136/0001-96</t>
  </si>
  <si>
    <t xml:space="preserve">O presente contrato tem como objetivo atender as demandas das Unidades Administrativas da Secretaria Municipal de Assistência Social e Direitos Humanos - </t>
  </si>
  <si>
    <t>PROCESSO N º 103/2021</t>
  </si>
  <si>
    <t>PREGÃO Nº 024/2021</t>
  </si>
  <si>
    <t>ATA Nº 007/2021</t>
  </si>
  <si>
    <t>058/2021</t>
  </si>
  <si>
    <t>M C INDUSTRIA E COMERCIO</t>
  </si>
  <si>
    <t>19.288.989/0001-09</t>
  </si>
  <si>
    <t>050/2021</t>
  </si>
  <si>
    <t>PREGÃO Nº 023/2021</t>
  </si>
  <si>
    <t>ATA Nº 006/2021</t>
  </si>
  <si>
    <t>DISBRAS COMERCIO EIRELI</t>
  </si>
  <si>
    <t>01.279.761/0001-97</t>
  </si>
  <si>
    <t>PRESTAÇÃO DE CONTAS MENSAL - EXERCÍCIO 2022</t>
  </si>
  <si>
    <t>STAR COMERCIO DE SUPRIMENTOS EIRELI ME</t>
  </si>
  <si>
    <t>05.252.941/0001-36</t>
  </si>
  <si>
    <t>062/2021</t>
  </si>
  <si>
    <t xml:space="preserve">JOAO ALMEIDA LIRA </t>
  </si>
  <si>
    <t>078.730.502-20</t>
  </si>
  <si>
    <t>30/12/20211</t>
  </si>
  <si>
    <t>PROCESSO N º 093/2021</t>
  </si>
  <si>
    <t xml:space="preserve">REAJUSTE/PRAZO </t>
  </si>
  <si>
    <t xml:space="preserve">O presente contrato tem como objetivo atender as demandas das Unidades Administrativas da Secretaria Municipal de Assistência Social e Direitos Humanos </t>
  </si>
  <si>
    <t>026/2022</t>
  </si>
  <si>
    <t xml:space="preserve">I. PASTOR DE SOUZA ALIMENTAÇOES LTDA </t>
  </si>
  <si>
    <t>ATA Nº004.2022</t>
  </si>
  <si>
    <t>PREGÃO Nº 085.2021</t>
  </si>
  <si>
    <t>PROCESSO N º 0238.2021</t>
  </si>
  <si>
    <t>RITA MARIA MENDES MACEDO - ME</t>
  </si>
  <si>
    <t>08.974.702/0001-88</t>
  </si>
  <si>
    <t>PREGÃO Nº 069/2021</t>
  </si>
  <si>
    <t>PROCESSO N º  159/2021</t>
  </si>
  <si>
    <t>061/2021</t>
  </si>
  <si>
    <t>PROCESSO N º  159/2022</t>
  </si>
  <si>
    <t>PREGÃO Nº 069/2022</t>
  </si>
  <si>
    <t>ATA Nº 001/2022</t>
  </si>
  <si>
    <t>014/2021</t>
  </si>
  <si>
    <t xml:space="preserve">SANCAR  COMERCIO </t>
  </si>
  <si>
    <t>051/2021</t>
  </si>
  <si>
    <t>J S CORDEIRO EIRELI</t>
  </si>
  <si>
    <t>18.255.882/0001-00</t>
  </si>
  <si>
    <t>PROCESSO N º  013/2021</t>
  </si>
  <si>
    <t>3.390.30.00</t>
  </si>
  <si>
    <t>101,  106 E 117</t>
  </si>
  <si>
    <t>.03</t>
  </si>
  <si>
    <t>.04</t>
  </si>
  <si>
    <t>.05</t>
  </si>
  <si>
    <t>.06</t>
  </si>
  <si>
    <t>.07</t>
  </si>
  <si>
    <t>.08</t>
  </si>
  <si>
    <t>.09</t>
  </si>
  <si>
    <t>.10</t>
  </si>
  <si>
    <t>.11</t>
  </si>
  <si>
    <t>.14</t>
  </si>
  <si>
    <t>.15</t>
  </si>
  <si>
    <t>.22</t>
  </si>
  <si>
    <t>.28</t>
  </si>
  <si>
    <t>.30</t>
  </si>
  <si>
    <t>.31</t>
  </si>
  <si>
    <t>.36</t>
  </si>
  <si>
    <t>.38</t>
  </si>
  <si>
    <t>.41</t>
  </si>
  <si>
    <t>.47</t>
  </si>
  <si>
    <t>.48</t>
  </si>
  <si>
    <t>.49</t>
  </si>
  <si>
    <t>.51</t>
  </si>
  <si>
    <t>.57</t>
  </si>
  <si>
    <t>.58</t>
  </si>
  <si>
    <t>.61</t>
  </si>
  <si>
    <t>.63</t>
  </si>
  <si>
    <t>.64</t>
  </si>
  <si>
    <t>PROCESSO N º  238/2021</t>
  </si>
  <si>
    <t>PREGÃO Nº 085/2021</t>
  </si>
  <si>
    <t>ATA Nº 004/2022</t>
  </si>
  <si>
    <t>027/2022</t>
  </si>
  <si>
    <t>FLORESTA EMPREENDIMENTOS</t>
  </si>
  <si>
    <t>076/2020</t>
  </si>
  <si>
    <t>J. S. FREITAS LTDA</t>
  </si>
  <si>
    <t>.65</t>
  </si>
  <si>
    <t>PROCESSO N º  292/2019</t>
  </si>
  <si>
    <t>PREGÃO Nº 108/2019</t>
  </si>
  <si>
    <t>ATA Nº 003/2020</t>
  </si>
  <si>
    <t>048/2020</t>
  </si>
  <si>
    <t>E. DE AGUIAR FROTA</t>
  </si>
  <si>
    <t>.66</t>
  </si>
  <si>
    <t>PROCESSO N º  278/2017</t>
  </si>
  <si>
    <t>PREGÃO Nº 120/2017</t>
  </si>
  <si>
    <t>ATA Nº 008/2017</t>
  </si>
  <si>
    <t>002/2019</t>
  </si>
  <si>
    <t>JF COMERCIO  EIRELI</t>
  </si>
  <si>
    <t>.67</t>
  </si>
  <si>
    <t>PREGÃO Nº 001/2020</t>
  </si>
  <si>
    <t>ATA Nº 001/2020</t>
  </si>
  <si>
    <t>PROCESSO N º  112/2021</t>
  </si>
  <si>
    <t>PRIME CONSULTORIA LTDA</t>
  </si>
  <si>
    <t>.68</t>
  </si>
  <si>
    <t>022/2022</t>
  </si>
  <si>
    <t>ATA Nº 005/2021</t>
  </si>
  <si>
    <t>PROCESSO N º  103/2021</t>
  </si>
  <si>
    <t>.69</t>
  </si>
  <si>
    <t>007/2022</t>
  </si>
  <si>
    <t>PREGÃO Nº 065/2021</t>
  </si>
  <si>
    <t>ATA Nº 013/2021</t>
  </si>
  <si>
    <t>PROCESSO N º  141/2021</t>
  </si>
  <si>
    <t>.70</t>
  </si>
  <si>
    <t>033/2022</t>
  </si>
  <si>
    <t>PROCESSO N º  256/2021</t>
  </si>
  <si>
    <t>ATA Nº 055/2022</t>
  </si>
  <si>
    <t>PREGÃO Nº 001/2022</t>
  </si>
  <si>
    <t>006/2022</t>
  </si>
  <si>
    <t>BRS SERVIÇOS EIRELI</t>
  </si>
  <si>
    <t>ATA Nº 012/2021</t>
  </si>
  <si>
    <t>101, 106 E 117</t>
  </si>
  <si>
    <t>24.584.199/0001-00</t>
  </si>
  <si>
    <t>17.489.291/0001-26</t>
  </si>
  <si>
    <t>063/2021</t>
  </si>
  <si>
    <t>05.340.639/0001-90</t>
  </si>
  <si>
    <t>04.296.371/0001-13</t>
  </si>
  <si>
    <t>04.758.482/0001-02</t>
  </si>
  <si>
    <t>.71</t>
  </si>
  <si>
    <t xml:space="preserve">PROCESSO N º  </t>
  </si>
  <si>
    <t>ATA Nº 008/2022</t>
  </si>
  <si>
    <t>PREGÃO Nº 008/2022</t>
  </si>
  <si>
    <t>047/2022</t>
  </si>
  <si>
    <t xml:space="preserve">AC EMPREENDIMENTOS </t>
  </si>
  <si>
    <t>.72</t>
  </si>
  <si>
    <t>008/2022</t>
  </si>
  <si>
    <t xml:space="preserve">RB LIMP LTDA </t>
  </si>
  <si>
    <t>32.512.975/0001-95</t>
  </si>
  <si>
    <t>ATA Nº 014/2021</t>
  </si>
  <si>
    <t>PROCESSO N º  014/2021</t>
  </si>
  <si>
    <t>.73</t>
  </si>
  <si>
    <t>052/2021</t>
  </si>
  <si>
    <t>NOVA COROA COMERCIO DE MATERIAIS LTDA</t>
  </si>
  <si>
    <t>31.201.320/0001-33</t>
  </si>
  <si>
    <t>.74</t>
  </si>
  <si>
    <t>PROCESSO N º  0281/2021</t>
  </si>
  <si>
    <t>PREGÃO Nº 018/2022</t>
  </si>
  <si>
    <t>046/2022</t>
  </si>
  <si>
    <t xml:space="preserve">NORTE DISTRIBUIDORA DE PRODUTOS ALIMENTICIOS </t>
  </si>
  <si>
    <t>.75</t>
  </si>
  <si>
    <t>PROCESSO N º  281/2021</t>
  </si>
  <si>
    <t>048/2022</t>
  </si>
  <si>
    <t>KELLE DE MELO OLIVEIRA</t>
  </si>
  <si>
    <t>.76</t>
  </si>
  <si>
    <t>PROCESSO N º  281/2022</t>
  </si>
  <si>
    <t>051/2022</t>
  </si>
  <si>
    <t>.77</t>
  </si>
  <si>
    <t>PREGÃO Nº 016/2021</t>
  </si>
  <si>
    <t>PROCESSO N º  086/2021</t>
  </si>
  <si>
    <t>044/2022</t>
  </si>
  <si>
    <t>G SANTOS DA SILVA EIRELI</t>
  </si>
  <si>
    <t>.78</t>
  </si>
  <si>
    <t>050/2022</t>
  </si>
  <si>
    <t>J S COMERCIO IMPORTAÇÃO E EXPORTAÇÃO LTDA</t>
  </si>
  <si>
    <t>.79</t>
  </si>
  <si>
    <t>010/2022</t>
  </si>
  <si>
    <t xml:space="preserve">MS SERVIÇOS </t>
  </si>
  <si>
    <t>ATA Nº 016/2021</t>
  </si>
  <si>
    <t>PROCESSO N º 141/2022</t>
  </si>
  <si>
    <t>01.044.674/0001-20</t>
  </si>
  <si>
    <t>37.306.014/0001-48</t>
  </si>
  <si>
    <t>11.338.721/0001-22</t>
  </si>
  <si>
    <t>22.172.177/0001-08</t>
  </si>
  <si>
    <t>Seq.</t>
  </si>
  <si>
    <t>TOTAL</t>
  </si>
  <si>
    <r>
      <t xml:space="preserve">IDENTIFICAÇÃO DO ÓRGÃO/ENTIDADE/FUNDO: </t>
    </r>
    <r>
      <rPr>
        <b/>
        <sz val="12"/>
        <color theme="1"/>
        <rFont val="Calibri"/>
        <family val="2"/>
        <scheme val="minor"/>
      </rPr>
      <t>FUNDO MUNICIPAL DE ASSISTENCIA SOCIAL  - FMAS</t>
    </r>
  </si>
  <si>
    <r>
      <t xml:space="preserve">REALIZADO ATÉ O MÊS/ANO (ACUMULADO): </t>
    </r>
    <r>
      <rPr>
        <b/>
        <sz val="12"/>
        <color theme="1"/>
        <rFont val="Calibri"/>
        <family val="2"/>
        <scheme val="minor"/>
      </rPr>
      <t>JANEIRO A MAIO/2022</t>
    </r>
  </si>
  <si>
    <r>
      <t xml:space="preserve">DATA DA ÚLTIMA ATUALIZAÇÃO: </t>
    </r>
    <r>
      <rPr>
        <b/>
        <sz val="12"/>
        <color theme="1"/>
        <rFont val="Calibri"/>
        <family val="2"/>
        <scheme val="minor"/>
      </rPr>
      <t>08/06/2022</t>
    </r>
  </si>
  <si>
    <r>
      <t xml:space="preserve">Nome do responsável pela elaboração: </t>
    </r>
    <r>
      <rPr>
        <b/>
        <sz val="12"/>
        <color theme="1"/>
        <rFont val="Calibri"/>
        <family val="2"/>
        <scheme val="minor"/>
      </rPr>
      <t xml:space="preserve">Ailton José Blazute Braga </t>
    </r>
  </si>
  <si>
    <r>
      <t xml:space="preserve">Nome do responsável pelo Órgão: </t>
    </r>
    <r>
      <rPr>
        <b/>
        <sz val="12"/>
        <color theme="1"/>
        <rFont val="Calibri"/>
        <family val="2"/>
        <scheme val="minor"/>
      </rPr>
      <t xml:space="preserve">Marfisa de Lima Galvão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</si>
</sst>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165" formatCode="_(* #,##0.00_);_(* \(#,##0.00\);_(* &quot;-&quot;??_);_(@_)"/>
    <numFmt numFmtId="166" formatCode="_-&quot;R$&quot;* #,##0.00_-;\-&quot;R$&quot;* #,##0.00_-;_-&quot;R$&quot;* &quot;-&quot;??_-;_-@_-"/>
    <numFmt numFmtId="167" formatCode="&quot;R$&quot;#,##0.00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30"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0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left" vertical="center" wrapText="1"/>
    </xf>
    <xf numFmtId="14" fontId="0" fillId="0" borderId="1" xfId="0" applyNumberFormat="1" applyFont="1" applyFill="1" applyBorder="1" applyAlignment="1">
      <alignment horizontal="left" vertical="center" wrapText="1"/>
    </xf>
    <xf numFmtId="3" fontId="0" fillId="0" borderId="1" xfId="0" applyNumberFormat="1" applyFont="1" applyFill="1" applyBorder="1" applyAlignment="1">
      <alignment horizontal="left" vertical="center" wrapText="1"/>
    </xf>
    <xf numFmtId="14" fontId="1" fillId="0" borderId="1" xfId="0" applyNumberFormat="1" applyFont="1" applyFill="1" applyBorder="1" applyAlignment="1">
      <alignment horizontal="left" vertical="center" wrapText="1"/>
    </xf>
    <xf numFmtId="10" fontId="0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17" fontId="0" fillId="0" borderId="1" xfId="0" applyNumberFormat="1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left" vertical="center" wrapText="1"/>
    </xf>
    <xf numFmtId="14" fontId="1" fillId="0" borderId="1" xfId="0" applyNumberFormat="1" applyFont="1" applyFill="1" applyBorder="1" applyAlignment="1">
      <alignment horizontal="left" vertical="center"/>
    </xf>
    <xf numFmtId="14" fontId="0" fillId="0" borderId="1" xfId="0" quotePrefix="1" applyNumberFormat="1" applyFont="1" applyFill="1" applyBorder="1" applyAlignment="1">
      <alignment horizontal="left" vertical="center" wrapText="1"/>
    </xf>
    <xf numFmtId="14" fontId="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" xfId="0" applyFont="1" applyFill="1" applyBorder="1" applyAlignment="1">
      <alignment horizontal="left" vertical="center" wrapText="1"/>
    </xf>
    <xf numFmtId="17" fontId="0" fillId="0" borderId="1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 applyProtection="1">
      <alignment horizontal="left" vertical="center"/>
      <protection locked="0"/>
    </xf>
    <xf numFmtId="3" fontId="0" fillId="0" borderId="1" xfId="0" applyNumberFormat="1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left" vertical="center"/>
    </xf>
    <xf numFmtId="14" fontId="0" fillId="0" borderId="1" xfId="0" applyNumberFormat="1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1" xfId="0" applyNumberFormat="1" applyFont="1" applyFill="1" applyBorder="1" applyAlignment="1">
      <alignment horizontal="left" vertical="center"/>
    </xf>
    <xf numFmtId="9" fontId="0" fillId="0" borderId="1" xfId="0" applyNumberFormat="1" applyFont="1" applyFill="1" applyBorder="1" applyAlignment="1">
      <alignment horizontal="left" vertical="center"/>
    </xf>
    <xf numFmtId="10" fontId="0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3" fontId="0" fillId="0" borderId="1" xfId="0" quotePrefix="1" applyNumberFormat="1" applyFont="1" applyFill="1" applyBorder="1" applyAlignment="1">
      <alignment horizontal="left" vertical="center"/>
    </xf>
    <xf numFmtId="17" fontId="1" fillId="0" borderId="1" xfId="0" applyNumberFormat="1" applyFont="1" applyFill="1" applyBorder="1" applyAlignment="1">
      <alignment horizontal="left" vertical="center"/>
    </xf>
    <xf numFmtId="3" fontId="1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3" fontId="1" fillId="0" borderId="1" xfId="0" quotePrefix="1" applyNumberFormat="1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166" fontId="6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 applyProtection="1">
      <alignment horizontal="left" vertical="center" wrapText="1"/>
      <protection locked="0"/>
    </xf>
    <xf numFmtId="0" fontId="1" fillId="0" borderId="3" xfId="0" applyFont="1" applyFill="1" applyBorder="1" applyAlignment="1">
      <alignment horizontal="left" vertical="center" wrapText="1"/>
    </xf>
    <xf numFmtId="49" fontId="0" fillId="0" borderId="3" xfId="0" applyNumberFormat="1" applyFont="1" applyFill="1" applyBorder="1" applyAlignment="1">
      <alignment horizontal="left" vertical="center" wrapText="1"/>
    </xf>
    <xf numFmtId="14" fontId="0" fillId="0" borderId="3" xfId="0" applyNumberFormat="1" applyFont="1" applyFill="1" applyBorder="1" applyAlignment="1">
      <alignment horizontal="left" vertical="center" wrapText="1"/>
    </xf>
    <xf numFmtId="3" fontId="0" fillId="0" borderId="3" xfId="0" applyNumberFormat="1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/>
    </xf>
    <xf numFmtId="14" fontId="1" fillId="0" borderId="3" xfId="0" applyNumberFormat="1" applyFont="1" applyFill="1" applyBorder="1" applyAlignment="1">
      <alignment horizontal="left" vertical="center" wrapText="1"/>
    </xf>
    <xf numFmtId="10" fontId="0" fillId="0" borderId="3" xfId="0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44" fontId="6" fillId="0" borderId="0" xfId="2" applyFont="1" applyFill="1" applyBorder="1" applyAlignment="1">
      <alignment horizontal="left" vertical="center"/>
    </xf>
    <xf numFmtId="44" fontId="5" fillId="0" borderId="1" xfId="2" applyFont="1" applyFill="1" applyBorder="1" applyAlignment="1">
      <alignment horizontal="center" vertical="center" wrapText="1"/>
    </xf>
    <xf numFmtId="44" fontId="8" fillId="0" borderId="10" xfId="2" applyFont="1" applyFill="1" applyBorder="1" applyAlignment="1">
      <alignment horizontal="center" vertical="center" wrapText="1"/>
    </xf>
    <xf numFmtId="44" fontId="0" fillId="0" borderId="3" xfId="2" applyFont="1" applyFill="1" applyBorder="1" applyAlignment="1">
      <alignment horizontal="left" vertical="center" wrapText="1"/>
    </xf>
    <xf numFmtId="44" fontId="0" fillId="0" borderId="1" xfId="2" applyFont="1" applyFill="1" applyBorder="1" applyAlignment="1">
      <alignment horizontal="left" vertical="center" wrapText="1"/>
    </xf>
    <xf numFmtId="44" fontId="0" fillId="0" borderId="1" xfId="2" applyFont="1" applyFill="1" applyBorder="1" applyAlignment="1">
      <alignment horizontal="left" vertical="center"/>
    </xf>
    <xf numFmtId="44" fontId="1" fillId="0" borderId="1" xfId="2" applyFont="1" applyFill="1" applyBorder="1" applyAlignment="1">
      <alignment horizontal="left" vertical="center"/>
    </xf>
    <xf numFmtId="44" fontId="0" fillId="0" borderId="0" xfId="2" applyFont="1" applyFill="1" applyAlignment="1">
      <alignment vertical="center"/>
    </xf>
    <xf numFmtId="0" fontId="0" fillId="0" borderId="2" xfId="0" applyNumberFormat="1" applyFont="1" applyFill="1" applyBorder="1" applyAlignment="1">
      <alignment horizontal="left" vertical="center" wrapText="1"/>
    </xf>
    <xf numFmtId="0" fontId="0" fillId="0" borderId="2" xfId="0" applyFont="1" applyFill="1" applyBorder="1" applyAlignment="1" applyProtection="1">
      <alignment horizontal="left" vertical="center"/>
      <protection locked="0"/>
    </xf>
    <xf numFmtId="3" fontId="0" fillId="0" borderId="2" xfId="0" quotePrefix="1" applyNumberFormat="1" applyFont="1" applyFill="1" applyBorder="1" applyAlignment="1">
      <alignment horizontal="left" vertical="center"/>
    </xf>
    <xf numFmtId="3" fontId="0" fillId="0" borderId="2" xfId="0" applyNumberFormat="1" applyFont="1" applyFill="1" applyBorder="1" applyAlignment="1">
      <alignment horizontal="left" vertical="center"/>
    </xf>
    <xf numFmtId="14" fontId="0" fillId="0" borderId="2" xfId="0" applyNumberFormat="1" applyFont="1" applyFill="1" applyBorder="1" applyAlignment="1">
      <alignment horizontal="left" vertical="center"/>
    </xf>
    <xf numFmtId="44" fontId="0" fillId="0" borderId="2" xfId="2" applyFont="1" applyFill="1" applyBorder="1" applyAlignment="1">
      <alignment horizontal="left" vertical="center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/>
    </xf>
    <xf numFmtId="44" fontId="5" fillId="0" borderId="13" xfId="2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 wrapText="1"/>
    </xf>
    <xf numFmtId="166" fontId="8" fillId="0" borderId="13" xfId="0" applyNumberFormat="1" applyFont="1" applyFill="1" applyBorder="1" applyAlignment="1">
      <alignment vertical="center" wrapText="1"/>
    </xf>
    <xf numFmtId="44" fontId="2" fillId="0" borderId="3" xfId="2" applyFont="1" applyFill="1" applyBorder="1" applyAlignment="1">
      <alignment horizontal="left" vertical="center" wrapText="1"/>
    </xf>
    <xf numFmtId="166" fontId="1" fillId="0" borderId="3" xfId="1" applyNumberFormat="1" applyFont="1" applyFill="1" applyBorder="1" applyAlignment="1">
      <alignment horizontal="left" vertical="center" wrapText="1"/>
    </xf>
    <xf numFmtId="166" fontId="2" fillId="0" borderId="3" xfId="1" applyNumberFormat="1" applyFont="1" applyFill="1" applyBorder="1" applyAlignment="1">
      <alignment horizontal="left" vertical="center" wrapText="1"/>
    </xf>
    <xf numFmtId="44" fontId="2" fillId="0" borderId="1" xfId="2" applyFont="1" applyFill="1" applyBorder="1" applyAlignment="1">
      <alignment horizontal="left" vertical="center" wrapText="1"/>
    </xf>
    <xf numFmtId="166" fontId="2" fillId="0" borderId="1" xfId="1" applyNumberFormat="1" applyFont="1" applyFill="1" applyBorder="1" applyAlignment="1">
      <alignment horizontal="left" vertical="center" wrapText="1"/>
    </xf>
    <xf numFmtId="166" fontId="1" fillId="0" borderId="1" xfId="1" applyNumberFormat="1" applyFont="1" applyFill="1" applyBorder="1" applyAlignment="1">
      <alignment horizontal="left" vertical="center" wrapText="1"/>
    </xf>
    <xf numFmtId="44" fontId="2" fillId="0" borderId="1" xfId="2" applyFont="1" applyFill="1" applyBorder="1" applyAlignment="1" applyProtection="1">
      <alignment horizontal="left" vertical="center" wrapText="1"/>
      <protection locked="0"/>
    </xf>
    <xf numFmtId="14" fontId="2" fillId="0" borderId="1" xfId="1" applyNumberFormat="1" applyFont="1" applyFill="1" applyBorder="1" applyAlignment="1">
      <alignment horizontal="left" vertical="center" wrapText="1"/>
    </xf>
    <xf numFmtId="167" fontId="1" fillId="0" borderId="1" xfId="1" applyNumberFormat="1" applyFont="1" applyFill="1" applyBorder="1" applyAlignment="1">
      <alignment horizontal="left" vertical="center" wrapText="1"/>
    </xf>
    <xf numFmtId="44" fontId="2" fillId="0" borderId="1" xfId="2" applyFont="1" applyFill="1" applyBorder="1" applyAlignment="1">
      <alignment horizontal="left" vertical="center"/>
    </xf>
    <xf numFmtId="17" fontId="0" fillId="0" borderId="2" xfId="0" applyNumberFormat="1" applyFont="1" applyFill="1" applyBorder="1" applyAlignment="1">
      <alignment horizontal="left" vertical="center"/>
    </xf>
    <xf numFmtId="44" fontId="2" fillId="0" borderId="2" xfId="2" applyFont="1" applyFill="1" applyBorder="1" applyAlignment="1">
      <alignment horizontal="left" vertical="center"/>
    </xf>
    <xf numFmtId="167" fontId="2" fillId="0" borderId="2" xfId="1" applyNumberFormat="1" applyFont="1" applyFill="1" applyBorder="1" applyAlignment="1">
      <alignment horizontal="left" vertical="center" wrapText="1"/>
    </xf>
    <xf numFmtId="44" fontId="1" fillId="0" borderId="1" xfId="2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44" fontId="6" fillId="0" borderId="0" xfId="2" applyFont="1" applyFill="1" applyBorder="1" applyAlignment="1">
      <alignment vertical="center"/>
    </xf>
    <xf numFmtId="44" fontId="1" fillId="0" borderId="3" xfId="2" applyFont="1" applyFill="1" applyBorder="1" applyAlignment="1">
      <alignment horizontal="left" vertical="center" wrapText="1"/>
    </xf>
    <xf numFmtId="167" fontId="1" fillId="0" borderId="3" xfId="2" applyNumberFormat="1" applyFont="1" applyFill="1" applyBorder="1" applyAlignment="1">
      <alignment horizontal="left" vertical="center" wrapText="1"/>
    </xf>
    <xf numFmtId="44" fontId="5" fillId="0" borderId="1" xfId="2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981075</xdr:colOff>
      <xdr:row>0</xdr:row>
      <xdr:rowOff>85725</xdr:rowOff>
    </xdr:from>
    <xdr:to>
      <xdr:col>11</xdr:col>
      <xdr:colOff>981075</xdr:colOff>
      <xdr:row>2</xdr:row>
      <xdr:rowOff>138112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6575" y="857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499079</xdr:colOff>
      <xdr:row>0</xdr:row>
      <xdr:rowOff>47625</xdr:rowOff>
    </xdr:from>
    <xdr:to>
      <xdr:col>1</xdr:col>
      <xdr:colOff>607217</xdr:colOff>
      <xdr:row>2</xdr:row>
      <xdr:rowOff>202405</xdr:rowOff>
    </xdr:to>
    <xdr:pic>
      <xdr:nvPicPr>
        <xdr:cNvPr id="3" name="Imagem 2" descr="pmrb_evandr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9079" y="47625"/>
          <a:ext cx="643919" cy="559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35"/>
  <sheetViews>
    <sheetView tabSelected="1" zoomScale="80" zoomScaleNormal="80" zoomScaleSheetLayoutView="50" workbookViewId="0">
      <selection activeCell="C107" sqref="C107"/>
    </sheetView>
  </sheetViews>
  <sheetFormatPr defaultRowHeight="15" x14ac:dyDescent="0.25"/>
  <cols>
    <col min="1" max="1" width="8" style="7" customWidth="1"/>
    <col min="2" max="2" width="35" style="7" bestFit="1" customWidth="1"/>
    <col min="3" max="3" width="50.7109375" style="7" bestFit="1" customWidth="1"/>
    <col min="4" max="4" width="11.7109375" style="7" bestFit="1" customWidth="1"/>
    <col min="5" max="5" width="5" style="7" bestFit="1" customWidth="1"/>
    <col min="6" max="6" width="55.7109375" style="7" customWidth="1"/>
    <col min="7" max="7" width="18.140625" style="7" customWidth="1"/>
    <col min="8" max="8" width="30" style="7" bestFit="1" customWidth="1"/>
    <col min="9" max="9" width="12.140625" style="7" bestFit="1" customWidth="1"/>
    <col min="10" max="10" width="15" style="7" bestFit="1" customWidth="1"/>
    <col min="11" max="11" width="11.5703125" style="18" bestFit="1" customWidth="1"/>
    <col min="12" max="12" width="56.85546875" style="7" customWidth="1"/>
    <col min="13" max="13" width="23.28515625" style="15" customWidth="1"/>
    <col min="14" max="14" width="18" style="7" bestFit="1" customWidth="1"/>
    <col min="15" max="15" width="17.7109375" style="92" bestFit="1" customWidth="1"/>
    <col min="16" max="16" width="16.7109375" style="7" customWidth="1"/>
    <col min="17" max="17" width="17" style="7" customWidth="1"/>
    <col min="18" max="18" width="18.140625" style="7" customWidth="1"/>
    <col min="19" max="19" width="15.5703125" style="7" customWidth="1"/>
    <col min="20" max="20" width="12" style="7" customWidth="1"/>
    <col min="21" max="21" width="17" style="7" customWidth="1"/>
    <col min="22" max="22" width="13.85546875" style="92" customWidth="1"/>
    <col min="23" max="23" width="23.7109375" style="7" bestFit="1" customWidth="1"/>
    <col min="24" max="24" width="5" style="7" bestFit="1" customWidth="1"/>
    <col min="25" max="25" width="8.7109375" style="15" customWidth="1"/>
    <col min="26" max="26" width="16.7109375" style="7" customWidth="1"/>
    <col min="27" max="27" width="14.7109375" style="7" customWidth="1"/>
    <col min="28" max="28" width="19.28515625" style="7" bestFit="1" customWidth="1"/>
    <col min="29" max="29" width="18.28515625" style="7" customWidth="1"/>
    <col min="30" max="30" width="16.28515625" style="7" customWidth="1"/>
    <col min="31" max="31" width="10.140625" style="7" bestFit="1" customWidth="1"/>
    <col min="32" max="32" width="10" style="7" bestFit="1" customWidth="1"/>
    <col min="33" max="33" width="11" style="92" bestFit="1" customWidth="1"/>
    <col min="34" max="34" width="10" style="92" bestFit="1" customWidth="1"/>
    <col min="35" max="35" width="12.85546875" style="92" bestFit="1" customWidth="1"/>
    <col min="36" max="37" width="10.5703125" style="92" customWidth="1"/>
    <col min="38" max="38" width="31.28515625" style="92" bestFit="1" customWidth="1"/>
    <col min="39" max="39" width="32.140625" style="7" bestFit="1" customWidth="1"/>
    <col min="40" max="40" width="27.28515625" style="7" bestFit="1" customWidth="1"/>
    <col min="41" max="41" width="17.140625" style="7" bestFit="1" customWidth="1"/>
    <col min="42" max="42" width="9.140625" style="7"/>
    <col min="43" max="43" width="9.140625" style="7" customWidth="1"/>
    <col min="44" max="16384" width="9.140625" style="7"/>
  </cols>
  <sheetData>
    <row r="1" spans="1:41" s="57" customFormat="1" ht="15.75" x14ac:dyDescent="0.25">
      <c r="K1" s="61"/>
      <c r="O1" s="85"/>
      <c r="V1" s="85"/>
      <c r="Y1" s="122"/>
      <c r="AG1" s="85"/>
      <c r="AH1" s="85"/>
      <c r="AI1" s="85"/>
      <c r="AJ1" s="85"/>
      <c r="AK1" s="85"/>
      <c r="AL1" s="85"/>
    </row>
    <row r="2" spans="1:41" s="57" customFormat="1" ht="15.75" x14ac:dyDescent="0.25">
      <c r="K2" s="61"/>
      <c r="O2" s="85"/>
      <c r="V2" s="85"/>
      <c r="Y2" s="122"/>
      <c r="AG2" s="85"/>
      <c r="AH2" s="85"/>
      <c r="AI2" s="85"/>
      <c r="AJ2" s="85"/>
      <c r="AK2" s="85"/>
      <c r="AL2" s="85"/>
    </row>
    <row r="3" spans="1:41" s="57" customFormat="1" ht="15.75" x14ac:dyDescent="0.25">
      <c r="K3" s="61"/>
      <c r="O3" s="85"/>
      <c r="V3" s="85"/>
      <c r="Y3" s="122"/>
      <c r="AG3" s="85"/>
      <c r="AH3" s="85"/>
      <c r="AI3" s="85"/>
      <c r="AJ3" s="85"/>
      <c r="AK3" s="85"/>
      <c r="AL3" s="85"/>
    </row>
    <row r="4" spans="1:41" s="57" customFormat="1" ht="15.75" x14ac:dyDescent="0.25">
      <c r="A4" s="61" t="s">
        <v>50</v>
      </c>
      <c r="K4" s="61"/>
      <c r="O4" s="85"/>
      <c r="V4" s="85"/>
      <c r="Y4" s="122"/>
      <c r="AG4" s="85"/>
      <c r="AH4" s="85"/>
      <c r="AI4" s="85"/>
      <c r="AJ4" s="85"/>
      <c r="AK4" s="85"/>
      <c r="AL4" s="85"/>
    </row>
    <row r="5" spans="1:41" s="57" customFormat="1" ht="15.75" x14ac:dyDescent="0.25">
      <c r="K5" s="61"/>
      <c r="O5" s="85"/>
      <c r="V5" s="85"/>
      <c r="Y5" s="122"/>
      <c r="AG5" s="85"/>
      <c r="AH5" s="85"/>
      <c r="AI5" s="85"/>
      <c r="AJ5" s="85"/>
      <c r="AK5" s="85"/>
      <c r="AL5" s="85"/>
    </row>
    <row r="6" spans="1:41" s="57" customFormat="1" ht="15.75" x14ac:dyDescent="0.25">
      <c r="A6" s="61" t="s">
        <v>488</v>
      </c>
      <c r="K6" s="61"/>
      <c r="O6" s="85"/>
      <c r="V6" s="85"/>
      <c r="Y6" s="122"/>
      <c r="AG6" s="85"/>
      <c r="AH6" s="85"/>
      <c r="AI6" s="85"/>
      <c r="AJ6" s="85"/>
      <c r="AK6" s="85"/>
      <c r="AL6" s="85"/>
    </row>
    <row r="7" spans="1:41" s="57" customFormat="1" ht="15.75" x14ac:dyDescent="0.25">
      <c r="A7" s="57" t="s">
        <v>64</v>
      </c>
      <c r="K7" s="61"/>
      <c r="O7" s="85"/>
      <c r="V7" s="85"/>
      <c r="Y7" s="122"/>
      <c r="AG7" s="85"/>
      <c r="AH7" s="85"/>
      <c r="AI7" s="85"/>
      <c r="AJ7" s="85"/>
      <c r="AK7" s="85"/>
      <c r="AL7" s="85"/>
    </row>
    <row r="8" spans="1:41" s="57" customFormat="1" ht="15.75" x14ac:dyDescent="0.25">
      <c r="A8" s="57" t="s">
        <v>85</v>
      </c>
      <c r="K8" s="61"/>
      <c r="O8" s="85"/>
      <c r="V8" s="85"/>
      <c r="Y8" s="122"/>
      <c r="AG8" s="85"/>
      <c r="AH8" s="85"/>
      <c r="AI8" s="85"/>
      <c r="AJ8" s="85"/>
      <c r="AK8" s="85"/>
      <c r="AL8" s="85"/>
    </row>
    <row r="9" spans="1:41" s="57" customFormat="1" ht="15.75" x14ac:dyDescent="0.25">
      <c r="K9" s="61"/>
      <c r="O9" s="85"/>
      <c r="V9" s="85"/>
      <c r="Y9" s="122"/>
      <c r="AG9" s="85"/>
      <c r="AH9" s="85"/>
      <c r="AI9" s="85"/>
      <c r="AJ9" s="85"/>
      <c r="AK9" s="85"/>
      <c r="AL9" s="85"/>
    </row>
    <row r="10" spans="1:41" s="57" customFormat="1" ht="15.75" x14ac:dyDescent="0.25">
      <c r="A10" s="57" t="s">
        <v>641</v>
      </c>
      <c r="K10" s="61"/>
      <c r="O10" s="85"/>
      <c r="V10" s="85"/>
      <c r="Y10" s="122"/>
      <c r="AG10" s="85"/>
      <c r="AH10" s="85"/>
      <c r="AI10" s="85"/>
      <c r="AJ10" s="85"/>
      <c r="AK10" s="85"/>
      <c r="AL10" s="85"/>
    </row>
    <row r="11" spans="1:41" s="57" customFormat="1" ht="15.75" x14ac:dyDescent="0.25">
      <c r="A11" s="57" t="s">
        <v>642</v>
      </c>
      <c r="K11" s="61"/>
      <c r="O11" s="85"/>
      <c r="V11" s="85"/>
      <c r="Y11" s="122"/>
      <c r="AG11" s="85"/>
      <c r="AH11" s="85"/>
      <c r="AI11" s="85"/>
      <c r="AJ11" s="85"/>
      <c r="AK11" s="85"/>
      <c r="AL11" s="85"/>
    </row>
    <row r="12" spans="1:41" s="59" customFormat="1" ht="15.75" x14ac:dyDescent="0.25">
      <c r="A12" s="58" t="s">
        <v>643</v>
      </c>
      <c r="B12" s="58"/>
      <c r="C12" s="57"/>
      <c r="D12" s="57"/>
      <c r="E12" s="57"/>
      <c r="F12" s="57"/>
      <c r="G12" s="57"/>
      <c r="H12" s="57"/>
      <c r="I12" s="57"/>
      <c r="J12" s="57"/>
      <c r="K12" s="61"/>
      <c r="M12" s="57"/>
      <c r="N12" s="57"/>
      <c r="O12" s="85"/>
      <c r="P12" s="57"/>
      <c r="Q12" s="57"/>
      <c r="R12" s="57"/>
      <c r="S12" s="57"/>
      <c r="T12" s="57"/>
      <c r="U12" s="57"/>
      <c r="V12" s="85"/>
      <c r="W12" s="57"/>
      <c r="X12" s="57"/>
      <c r="Y12" s="122"/>
      <c r="Z12" s="57"/>
      <c r="AA12" s="57"/>
      <c r="AB12" s="57"/>
      <c r="AC12" s="57"/>
      <c r="AD12" s="57"/>
      <c r="AE12" s="57"/>
      <c r="AF12" s="57"/>
      <c r="AG12" s="85"/>
      <c r="AH12" s="85"/>
      <c r="AI12" s="85"/>
      <c r="AJ12" s="124"/>
      <c r="AK12" s="124"/>
      <c r="AL12" s="124"/>
      <c r="AO12" s="60"/>
    </row>
    <row r="13" spans="1:41" s="59" customFormat="1" ht="15.75" x14ac:dyDescent="0.25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61"/>
      <c r="M13" s="57"/>
      <c r="N13" s="57"/>
      <c r="O13" s="85"/>
      <c r="P13" s="57"/>
      <c r="Q13" s="57"/>
      <c r="R13" s="57"/>
      <c r="S13" s="57"/>
      <c r="T13" s="57"/>
      <c r="U13" s="57"/>
      <c r="V13" s="85"/>
      <c r="W13" s="57"/>
      <c r="X13" s="57"/>
      <c r="Y13" s="122"/>
      <c r="Z13" s="57"/>
      <c r="AA13" s="57"/>
      <c r="AB13" s="57"/>
      <c r="AC13" s="57"/>
      <c r="AD13" s="57"/>
      <c r="AE13" s="57"/>
      <c r="AF13" s="57"/>
      <c r="AG13" s="85"/>
      <c r="AH13" s="85"/>
      <c r="AI13" s="85"/>
      <c r="AJ13" s="124"/>
      <c r="AK13" s="124"/>
      <c r="AL13" s="124"/>
      <c r="AO13" s="60"/>
    </row>
    <row r="14" spans="1:41" s="57" customFormat="1" ht="16.5" thickBot="1" x14ac:dyDescent="0.3">
      <c r="A14" s="61" t="s">
        <v>62</v>
      </c>
      <c r="K14" s="61"/>
      <c r="O14" s="85"/>
      <c r="V14" s="85"/>
      <c r="Y14" s="122"/>
      <c r="AG14" s="85"/>
      <c r="AH14" s="85"/>
      <c r="AI14" s="85"/>
      <c r="AJ14" s="85"/>
      <c r="AK14" s="85"/>
      <c r="AL14" s="85"/>
    </row>
    <row r="15" spans="1:41" x14ac:dyDescent="0.25">
      <c r="A15" s="73" t="s">
        <v>639</v>
      </c>
      <c r="B15" s="74" t="s">
        <v>21</v>
      </c>
      <c r="C15" s="74"/>
      <c r="D15" s="74"/>
      <c r="E15" s="74"/>
      <c r="F15" s="74"/>
      <c r="G15" s="74"/>
      <c r="H15" s="75"/>
      <c r="I15" s="75"/>
      <c r="J15" s="75"/>
      <c r="K15" s="74" t="s">
        <v>128</v>
      </c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6"/>
    </row>
    <row r="16" spans="1:41" x14ac:dyDescent="0.25">
      <c r="A16" s="77"/>
      <c r="B16" s="62"/>
      <c r="C16" s="62"/>
      <c r="D16" s="62"/>
      <c r="E16" s="62"/>
      <c r="F16" s="62"/>
      <c r="G16" s="62"/>
      <c r="H16" s="62" t="s">
        <v>82</v>
      </c>
      <c r="I16" s="62"/>
      <c r="J16" s="62"/>
      <c r="K16" s="62" t="s">
        <v>51</v>
      </c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 t="s">
        <v>74</v>
      </c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127" t="s">
        <v>66</v>
      </c>
      <c r="AJ16" s="127"/>
      <c r="AK16" s="127"/>
      <c r="AL16" s="62" t="s">
        <v>52</v>
      </c>
      <c r="AM16" s="62"/>
      <c r="AN16" s="62"/>
      <c r="AO16" s="78"/>
    </row>
    <row r="17" spans="1:41" x14ac:dyDescent="0.25">
      <c r="A17" s="77"/>
      <c r="B17" s="62"/>
      <c r="C17" s="62"/>
      <c r="D17" s="62"/>
      <c r="E17" s="62"/>
      <c r="F17" s="62"/>
      <c r="G17" s="62"/>
      <c r="H17" s="62" t="s">
        <v>80</v>
      </c>
      <c r="I17" s="62" t="s">
        <v>81</v>
      </c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 t="s">
        <v>65</v>
      </c>
      <c r="AD17" s="62"/>
      <c r="AE17" s="62" t="s">
        <v>68</v>
      </c>
      <c r="AF17" s="62"/>
      <c r="AG17" s="62"/>
      <c r="AH17" s="62"/>
      <c r="AI17" s="127" t="s">
        <v>67</v>
      </c>
      <c r="AJ17" s="127"/>
      <c r="AK17" s="127"/>
      <c r="AL17" s="86"/>
      <c r="AM17" s="62" t="s">
        <v>75</v>
      </c>
      <c r="AN17" s="62"/>
      <c r="AO17" s="78"/>
    </row>
    <row r="18" spans="1:41" ht="45" x14ac:dyDescent="0.25">
      <c r="A18" s="77"/>
      <c r="B18" s="1" t="s">
        <v>6</v>
      </c>
      <c r="C18" s="1" t="s">
        <v>7</v>
      </c>
      <c r="D18" s="1" t="s">
        <v>0</v>
      </c>
      <c r="E18" s="1" t="s">
        <v>1</v>
      </c>
      <c r="F18" s="1" t="s">
        <v>2</v>
      </c>
      <c r="G18" s="1" t="s">
        <v>8</v>
      </c>
      <c r="H18" s="62"/>
      <c r="I18" s="1" t="s">
        <v>133</v>
      </c>
      <c r="J18" s="1" t="s">
        <v>134</v>
      </c>
      <c r="K18" s="2" t="s">
        <v>9</v>
      </c>
      <c r="L18" s="1" t="s">
        <v>3</v>
      </c>
      <c r="M18" s="1" t="s">
        <v>19</v>
      </c>
      <c r="N18" s="1" t="s">
        <v>10</v>
      </c>
      <c r="O18" s="86" t="s">
        <v>48</v>
      </c>
      <c r="P18" s="1" t="s">
        <v>14</v>
      </c>
      <c r="Q18" s="1" t="s">
        <v>135</v>
      </c>
      <c r="R18" s="1" t="s">
        <v>136</v>
      </c>
      <c r="S18" s="1" t="s">
        <v>4</v>
      </c>
      <c r="T18" s="1" t="s">
        <v>63</v>
      </c>
      <c r="U18" s="1" t="s">
        <v>53</v>
      </c>
      <c r="V18" s="86" t="s">
        <v>54</v>
      </c>
      <c r="W18" s="1" t="s">
        <v>5</v>
      </c>
      <c r="X18" s="1" t="s">
        <v>1</v>
      </c>
      <c r="Y18" s="1" t="s">
        <v>77</v>
      </c>
      <c r="Z18" s="1" t="s">
        <v>137</v>
      </c>
      <c r="AA18" s="1" t="s">
        <v>14</v>
      </c>
      <c r="AB18" s="1" t="s">
        <v>11</v>
      </c>
      <c r="AC18" s="1" t="s">
        <v>13</v>
      </c>
      <c r="AD18" s="1" t="s">
        <v>12</v>
      </c>
      <c r="AE18" s="1" t="s">
        <v>15</v>
      </c>
      <c r="AF18" s="1" t="s">
        <v>16</v>
      </c>
      <c r="AG18" s="86" t="s">
        <v>17</v>
      </c>
      <c r="AH18" s="86" t="s">
        <v>18</v>
      </c>
      <c r="AI18" s="86" t="s">
        <v>73</v>
      </c>
      <c r="AJ18" s="86" t="s">
        <v>72</v>
      </c>
      <c r="AK18" s="86" t="s">
        <v>71</v>
      </c>
      <c r="AL18" s="86" t="s">
        <v>22</v>
      </c>
      <c r="AM18" s="3" t="s">
        <v>467</v>
      </c>
      <c r="AN18" s="1" t="s">
        <v>468</v>
      </c>
      <c r="AO18" s="79" t="s">
        <v>20</v>
      </c>
    </row>
    <row r="19" spans="1:41" s="8" customFormat="1" ht="15.75" thickBot="1" x14ac:dyDescent="0.3">
      <c r="A19" s="80"/>
      <c r="B19" s="81" t="s">
        <v>23</v>
      </c>
      <c r="C19" s="81" t="s">
        <v>24</v>
      </c>
      <c r="D19" s="82" t="s">
        <v>47</v>
      </c>
      <c r="E19" s="81" t="s">
        <v>25</v>
      </c>
      <c r="F19" s="81" t="s">
        <v>26</v>
      </c>
      <c r="G19" s="81" t="s">
        <v>27</v>
      </c>
      <c r="H19" s="81" t="s">
        <v>28</v>
      </c>
      <c r="I19" s="81" t="s">
        <v>29</v>
      </c>
      <c r="J19" s="81" t="s">
        <v>30</v>
      </c>
      <c r="K19" s="82" t="s">
        <v>31</v>
      </c>
      <c r="L19" s="81" t="s">
        <v>32</v>
      </c>
      <c r="M19" s="81" t="s">
        <v>33</v>
      </c>
      <c r="N19" s="81" t="s">
        <v>34</v>
      </c>
      <c r="O19" s="87" t="s">
        <v>35</v>
      </c>
      <c r="P19" s="81" t="s">
        <v>36</v>
      </c>
      <c r="Q19" s="81" t="s">
        <v>37</v>
      </c>
      <c r="R19" s="81" t="s">
        <v>38</v>
      </c>
      <c r="S19" s="81" t="s">
        <v>49</v>
      </c>
      <c r="T19" s="81" t="s">
        <v>39</v>
      </c>
      <c r="U19" s="81" t="s">
        <v>76</v>
      </c>
      <c r="V19" s="87" t="s">
        <v>40</v>
      </c>
      <c r="W19" s="81" t="s">
        <v>41</v>
      </c>
      <c r="X19" s="81" t="s">
        <v>42</v>
      </c>
      <c r="Y19" s="81" t="s">
        <v>43</v>
      </c>
      <c r="Z19" s="81" t="s">
        <v>44</v>
      </c>
      <c r="AA19" s="81" t="s">
        <v>45</v>
      </c>
      <c r="AB19" s="81" t="s">
        <v>55</v>
      </c>
      <c r="AC19" s="81" t="s">
        <v>46</v>
      </c>
      <c r="AD19" s="81" t="s">
        <v>78</v>
      </c>
      <c r="AE19" s="81" t="s">
        <v>69</v>
      </c>
      <c r="AF19" s="81" t="s">
        <v>56</v>
      </c>
      <c r="AG19" s="87" t="s">
        <v>70</v>
      </c>
      <c r="AH19" s="87" t="s">
        <v>79</v>
      </c>
      <c r="AI19" s="87" t="s">
        <v>57</v>
      </c>
      <c r="AJ19" s="87" t="s">
        <v>58</v>
      </c>
      <c r="AK19" s="87" t="s">
        <v>59</v>
      </c>
      <c r="AL19" s="87" t="s">
        <v>84</v>
      </c>
      <c r="AM19" s="81" t="s">
        <v>60</v>
      </c>
      <c r="AN19" s="81" t="s">
        <v>61</v>
      </c>
      <c r="AO19" s="83" t="s">
        <v>83</v>
      </c>
    </row>
    <row r="20" spans="1:41" s="30" customFormat="1" ht="30" x14ac:dyDescent="0.25">
      <c r="A20" s="63" t="s">
        <v>324</v>
      </c>
      <c r="B20" s="64" t="s">
        <v>89</v>
      </c>
      <c r="C20" s="64" t="s">
        <v>90</v>
      </c>
      <c r="D20" s="65" t="s">
        <v>88</v>
      </c>
      <c r="E20" s="65" t="s">
        <v>87</v>
      </c>
      <c r="F20" s="64" t="s">
        <v>179</v>
      </c>
      <c r="G20" s="66" t="s">
        <v>132</v>
      </c>
      <c r="H20" s="66" t="s">
        <v>132</v>
      </c>
      <c r="I20" s="66" t="s">
        <v>132</v>
      </c>
      <c r="J20" s="66" t="s">
        <v>132</v>
      </c>
      <c r="K20" s="67" t="s">
        <v>95</v>
      </c>
      <c r="L20" s="64" t="s">
        <v>96</v>
      </c>
      <c r="M20" s="64" t="s">
        <v>97</v>
      </c>
      <c r="N20" s="68">
        <v>41334</v>
      </c>
      <c r="O20" s="108">
        <v>7459.55</v>
      </c>
      <c r="P20" s="69">
        <v>11014</v>
      </c>
      <c r="Q20" s="68">
        <v>41334</v>
      </c>
      <c r="R20" s="68">
        <v>41699</v>
      </c>
      <c r="S20" s="65">
        <v>117</v>
      </c>
      <c r="T20" s="64" t="s">
        <v>95</v>
      </c>
      <c r="U20" s="65" t="s">
        <v>109</v>
      </c>
      <c r="V20" s="88" t="s">
        <v>132</v>
      </c>
      <c r="W20" s="64" t="s">
        <v>111</v>
      </c>
      <c r="X20" s="64" t="s">
        <v>132</v>
      </c>
      <c r="Y20" s="123">
        <v>7</v>
      </c>
      <c r="Z20" s="68">
        <v>43710</v>
      </c>
      <c r="AA20" s="69">
        <v>12625</v>
      </c>
      <c r="AB20" s="70" t="s">
        <v>115</v>
      </c>
      <c r="AC20" s="71">
        <v>43922</v>
      </c>
      <c r="AD20" s="71">
        <v>44286</v>
      </c>
      <c r="AE20" s="64">
        <v>5.04</v>
      </c>
      <c r="AF20" s="72" t="s">
        <v>132</v>
      </c>
      <c r="AG20" s="88"/>
      <c r="AH20" s="88">
        <v>0</v>
      </c>
      <c r="AI20" s="125">
        <v>0</v>
      </c>
      <c r="AJ20" s="125">
        <v>0</v>
      </c>
      <c r="AK20" s="125">
        <v>0</v>
      </c>
      <c r="AL20" s="126">
        <f>O20-AH20+AG20+AK20</f>
        <v>7459.55</v>
      </c>
      <c r="AM20" s="66"/>
      <c r="AN20" s="109"/>
      <c r="AO20" s="110">
        <f>AM20+AN20</f>
        <v>0</v>
      </c>
    </row>
    <row r="21" spans="1:41" s="30" customFormat="1" ht="30" x14ac:dyDescent="0.25">
      <c r="A21" s="21" t="s">
        <v>325</v>
      </c>
      <c r="B21" s="22" t="s">
        <v>91</v>
      </c>
      <c r="C21" s="22" t="s">
        <v>92</v>
      </c>
      <c r="D21" s="23" t="s">
        <v>86</v>
      </c>
      <c r="E21" s="23" t="s">
        <v>93</v>
      </c>
      <c r="F21" s="22" t="s">
        <v>94</v>
      </c>
      <c r="G21" s="24" t="s">
        <v>132</v>
      </c>
      <c r="H21" s="24" t="s">
        <v>132</v>
      </c>
      <c r="I21" s="24" t="s">
        <v>132</v>
      </c>
      <c r="J21" s="24" t="s">
        <v>132</v>
      </c>
      <c r="K21" s="25" t="s">
        <v>103</v>
      </c>
      <c r="L21" s="22" t="s">
        <v>129</v>
      </c>
      <c r="M21" s="22" t="s">
        <v>104</v>
      </c>
      <c r="N21" s="26">
        <v>42097</v>
      </c>
      <c r="O21" s="111">
        <v>15984</v>
      </c>
      <c r="P21" s="27">
        <v>11541</v>
      </c>
      <c r="Q21" s="26">
        <v>42097</v>
      </c>
      <c r="R21" s="26">
        <v>42462</v>
      </c>
      <c r="S21" s="23">
        <v>117</v>
      </c>
      <c r="T21" s="22" t="s">
        <v>103</v>
      </c>
      <c r="U21" s="31" t="s">
        <v>109</v>
      </c>
      <c r="V21" s="89" t="s">
        <v>132</v>
      </c>
      <c r="W21" s="22" t="s">
        <v>112</v>
      </c>
      <c r="X21" s="22" t="s">
        <v>132</v>
      </c>
      <c r="Y21" s="4">
        <v>6</v>
      </c>
      <c r="Z21" s="26">
        <v>44286</v>
      </c>
      <c r="AA21" s="27">
        <v>13014</v>
      </c>
      <c r="AB21" s="22" t="s">
        <v>116</v>
      </c>
      <c r="AC21" s="28">
        <v>44286</v>
      </c>
      <c r="AD21" s="28">
        <v>44652</v>
      </c>
      <c r="AE21" s="22" t="s">
        <v>132</v>
      </c>
      <c r="AF21" s="29" t="s">
        <v>132</v>
      </c>
      <c r="AG21" s="89"/>
      <c r="AH21" s="89"/>
      <c r="AI21" s="121"/>
      <c r="AJ21" s="121"/>
      <c r="AK21" s="121"/>
      <c r="AL21" s="126">
        <f t="shared" ref="AL21:AL84" si="0">O21-AH21+AG21+AK21</f>
        <v>15984</v>
      </c>
      <c r="AM21" s="112">
        <f>1586.9+1586.9+1586.9+1586.9+1586.9+1586.9+1586.9+1586.9+1586.9+1586.9+1586.9</f>
        <v>17455.899999999998</v>
      </c>
      <c r="AN21" s="112">
        <v>1586.9</v>
      </c>
      <c r="AO21" s="110">
        <f t="shared" ref="AO21:AO84" si="1">AM21+AN21</f>
        <v>19042.8</v>
      </c>
    </row>
    <row r="22" spans="1:41" s="6" customFormat="1" x14ac:dyDescent="0.25">
      <c r="A22" s="21" t="s">
        <v>519</v>
      </c>
      <c r="B22" s="22" t="s">
        <v>120</v>
      </c>
      <c r="C22" s="22" t="s">
        <v>118</v>
      </c>
      <c r="D22" s="23" t="s">
        <v>86</v>
      </c>
      <c r="E22" s="23" t="s">
        <v>87</v>
      </c>
      <c r="F22" s="22" t="s">
        <v>138</v>
      </c>
      <c r="G22" s="27">
        <v>12321</v>
      </c>
      <c r="H22" s="25" t="s">
        <v>117</v>
      </c>
      <c r="I22" s="26">
        <v>43252</v>
      </c>
      <c r="J22" s="26">
        <v>43617</v>
      </c>
      <c r="K22" s="13" t="s">
        <v>119</v>
      </c>
      <c r="L22" s="22" t="s">
        <v>105</v>
      </c>
      <c r="M22" s="22" t="s">
        <v>106</v>
      </c>
      <c r="N22" s="26">
        <v>43252</v>
      </c>
      <c r="O22" s="111">
        <v>35964</v>
      </c>
      <c r="P22" s="27">
        <v>12321</v>
      </c>
      <c r="Q22" s="26">
        <v>43252</v>
      </c>
      <c r="R22" s="26">
        <v>43617</v>
      </c>
      <c r="S22" s="23">
        <v>117</v>
      </c>
      <c r="T22" s="22" t="s">
        <v>119</v>
      </c>
      <c r="U22" s="23" t="s">
        <v>109</v>
      </c>
      <c r="V22" s="89" t="s">
        <v>132</v>
      </c>
      <c r="W22" s="22" t="s">
        <v>110</v>
      </c>
      <c r="X22" s="22" t="s">
        <v>132</v>
      </c>
      <c r="Y22" s="9">
        <v>3</v>
      </c>
      <c r="Z22" s="28">
        <v>44347</v>
      </c>
      <c r="AA22" s="27">
        <v>13061</v>
      </c>
      <c r="AB22" s="22" t="s">
        <v>145</v>
      </c>
      <c r="AC22" s="28">
        <v>44355</v>
      </c>
      <c r="AD22" s="28">
        <v>44719</v>
      </c>
      <c r="AE22" s="22" t="s">
        <v>132</v>
      </c>
      <c r="AF22" s="29">
        <v>4.7699999999999999E-2</v>
      </c>
      <c r="AG22" s="89">
        <v>149.78</v>
      </c>
      <c r="AH22" s="89"/>
      <c r="AI22" s="121"/>
      <c r="AJ22" s="121"/>
      <c r="AK22" s="121"/>
      <c r="AL22" s="126">
        <f t="shared" si="0"/>
        <v>36113.78</v>
      </c>
      <c r="AM22" s="113">
        <f>3140.18+3140.18+3140.18+3140.18+3140.18+3140.18+3140.18+3140.18+3140.18</f>
        <v>28261.62</v>
      </c>
      <c r="AN22" s="113">
        <f>3140.18+3140.18</f>
        <v>6280.36</v>
      </c>
      <c r="AO22" s="110">
        <f t="shared" si="1"/>
        <v>34541.979999999996</v>
      </c>
    </row>
    <row r="23" spans="1:41" s="6" customFormat="1" x14ac:dyDescent="0.25">
      <c r="A23" s="21" t="s">
        <v>520</v>
      </c>
      <c r="B23" s="22" t="s">
        <v>125</v>
      </c>
      <c r="C23" s="22" t="s">
        <v>121</v>
      </c>
      <c r="D23" s="23" t="s">
        <v>88</v>
      </c>
      <c r="E23" s="23" t="s">
        <v>87</v>
      </c>
      <c r="F23" s="22" t="s">
        <v>138</v>
      </c>
      <c r="G23" s="27">
        <v>12311</v>
      </c>
      <c r="H23" s="25" t="s">
        <v>127</v>
      </c>
      <c r="I23" s="26">
        <v>43241</v>
      </c>
      <c r="J23" s="26">
        <v>43606</v>
      </c>
      <c r="K23" s="13" t="s">
        <v>126</v>
      </c>
      <c r="L23" s="22" t="s">
        <v>289</v>
      </c>
      <c r="M23" s="22" t="s">
        <v>107</v>
      </c>
      <c r="N23" s="26">
        <v>43412</v>
      </c>
      <c r="O23" s="111">
        <v>18000</v>
      </c>
      <c r="P23" s="27">
        <v>12429</v>
      </c>
      <c r="Q23" s="26">
        <v>43412</v>
      </c>
      <c r="R23" s="26">
        <v>43412</v>
      </c>
      <c r="S23" s="23">
        <v>117</v>
      </c>
      <c r="T23" s="22" t="s">
        <v>126</v>
      </c>
      <c r="U23" s="23" t="s">
        <v>124</v>
      </c>
      <c r="V23" s="89" t="s">
        <v>132</v>
      </c>
      <c r="W23" s="22" t="s">
        <v>111</v>
      </c>
      <c r="X23" s="22" t="s">
        <v>132</v>
      </c>
      <c r="Y23" s="9">
        <v>3</v>
      </c>
      <c r="Z23" s="28">
        <v>44505</v>
      </c>
      <c r="AA23" s="27">
        <v>13163</v>
      </c>
      <c r="AB23" s="22" t="s">
        <v>114</v>
      </c>
      <c r="AC23" s="28">
        <v>44509</v>
      </c>
      <c r="AD23" s="28">
        <v>44873</v>
      </c>
      <c r="AE23" s="22" t="s">
        <v>132</v>
      </c>
      <c r="AF23" s="22" t="s">
        <v>132</v>
      </c>
      <c r="AG23" s="89"/>
      <c r="AH23" s="89"/>
      <c r="AI23" s="121"/>
      <c r="AJ23" s="121"/>
      <c r="AK23" s="121"/>
      <c r="AL23" s="126">
        <f t="shared" si="0"/>
        <v>18000</v>
      </c>
      <c r="AM23" s="113">
        <f>1800.69+1800.69+1800.69+1800.69+1800.69+1800.69+1800.69+1800.69+1800.69</f>
        <v>16206.210000000003</v>
      </c>
      <c r="AN23" s="113"/>
      <c r="AO23" s="110">
        <f t="shared" si="1"/>
        <v>16206.210000000003</v>
      </c>
    </row>
    <row r="24" spans="1:41" s="6" customFormat="1" ht="90" x14ac:dyDescent="0.25">
      <c r="A24" s="21" t="s">
        <v>521</v>
      </c>
      <c r="B24" s="22" t="s">
        <v>141</v>
      </c>
      <c r="C24" s="13" t="s">
        <v>142</v>
      </c>
      <c r="D24" s="23" t="s">
        <v>88</v>
      </c>
      <c r="E24" s="23" t="s">
        <v>87</v>
      </c>
      <c r="F24" s="22" t="s">
        <v>144</v>
      </c>
      <c r="G24" s="27" t="s">
        <v>132</v>
      </c>
      <c r="H24" s="25" t="s">
        <v>143</v>
      </c>
      <c r="I24" s="26" t="s">
        <v>132</v>
      </c>
      <c r="J24" s="26" t="s">
        <v>132</v>
      </c>
      <c r="K24" s="13" t="s">
        <v>140</v>
      </c>
      <c r="L24" s="22" t="s">
        <v>130</v>
      </c>
      <c r="M24" s="22" t="s">
        <v>131</v>
      </c>
      <c r="N24" s="26">
        <v>43551</v>
      </c>
      <c r="O24" s="111">
        <v>400256.4</v>
      </c>
      <c r="P24" s="27">
        <v>12784</v>
      </c>
      <c r="Q24" s="26">
        <v>43928</v>
      </c>
      <c r="R24" s="26">
        <v>44292</v>
      </c>
      <c r="S24" s="23">
        <v>101</v>
      </c>
      <c r="T24" s="32" t="s">
        <v>140</v>
      </c>
      <c r="U24" s="23" t="s">
        <v>124</v>
      </c>
      <c r="V24" s="89" t="s">
        <v>132</v>
      </c>
      <c r="W24" s="22" t="s">
        <v>111</v>
      </c>
      <c r="X24" s="22" t="s">
        <v>132</v>
      </c>
      <c r="Y24" s="9">
        <v>2</v>
      </c>
      <c r="Z24" s="28">
        <v>44285</v>
      </c>
      <c r="AA24" s="33">
        <v>13013</v>
      </c>
      <c r="AB24" s="24" t="s">
        <v>114</v>
      </c>
      <c r="AC24" s="34">
        <v>44293</v>
      </c>
      <c r="AD24" s="34">
        <v>44657</v>
      </c>
      <c r="AE24" s="24" t="s">
        <v>132</v>
      </c>
      <c r="AF24" s="24"/>
      <c r="AG24" s="121"/>
      <c r="AH24" s="121"/>
      <c r="AI24" s="121"/>
      <c r="AJ24" s="121"/>
      <c r="AK24" s="121"/>
      <c r="AL24" s="126">
        <f t="shared" si="0"/>
        <v>400256.4</v>
      </c>
      <c r="AM24" s="113">
        <f>1919.56+1885.44+20000+9721.71+10000+15000+3464.95+15000+2000+4535.05+20000+2000+11083.64+20000+5000+17000+8000+3916.36+5000+5000+8000+5000+8000+10000+8000+10000+5000+8000+3000+10000+10000+5000+5000+5000+5000+15000+5000+5000+10000+7000+5000+5000+5000+4317.86+205.58+10000+12793.5+10000+10000+12000+0.41</f>
        <v>401844.05999999994</v>
      </c>
      <c r="AN24" s="113">
        <f>15000+1757.33+10000+8000+10000+25000+11020.21+1742.35+1131.31+12237.44</f>
        <v>95888.640000000014</v>
      </c>
      <c r="AO24" s="110">
        <f t="shared" si="1"/>
        <v>497732.69999999995</v>
      </c>
    </row>
    <row r="25" spans="1:41" s="6" customFormat="1" ht="30" x14ac:dyDescent="0.25">
      <c r="A25" s="21" t="s">
        <v>522</v>
      </c>
      <c r="B25" s="22" t="s">
        <v>150</v>
      </c>
      <c r="C25" s="22" t="s">
        <v>154</v>
      </c>
      <c r="D25" s="23" t="s">
        <v>88</v>
      </c>
      <c r="E25" s="23" t="s">
        <v>93</v>
      </c>
      <c r="F25" s="22" t="s">
        <v>153</v>
      </c>
      <c r="G25" s="27">
        <v>12375</v>
      </c>
      <c r="H25" s="25" t="s">
        <v>156</v>
      </c>
      <c r="I25" s="26">
        <v>43301</v>
      </c>
      <c r="J25" s="26">
        <v>43666</v>
      </c>
      <c r="K25" s="13" t="s">
        <v>151</v>
      </c>
      <c r="L25" s="22" t="s">
        <v>148</v>
      </c>
      <c r="M25" s="22" t="s">
        <v>149</v>
      </c>
      <c r="N25" s="26">
        <v>43301</v>
      </c>
      <c r="O25" s="111">
        <v>235600.8</v>
      </c>
      <c r="P25" s="27">
        <v>12375</v>
      </c>
      <c r="Q25" s="26">
        <v>43305</v>
      </c>
      <c r="R25" s="26">
        <v>43670</v>
      </c>
      <c r="S25" s="23">
        <v>101</v>
      </c>
      <c r="T25" s="32" t="s">
        <v>151</v>
      </c>
      <c r="U25" s="23" t="s">
        <v>124</v>
      </c>
      <c r="V25" s="89" t="s">
        <v>132</v>
      </c>
      <c r="W25" s="22" t="s">
        <v>111</v>
      </c>
      <c r="X25" s="22" t="s">
        <v>132</v>
      </c>
      <c r="Y25" s="9">
        <v>4</v>
      </c>
      <c r="Z25" s="28">
        <v>44400</v>
      </c>
      <c r="AA25" s="33">
        <v>13099</v>
      </c>
      <c r="AB25" s="24" t="s">
        <v>114</v>
      </c>
      <c r="AC25" s="28">
        <v>44402</v>
      </c>
      <c r="AD25" s="28">
        <v>44766</v>
      </c>
      <c r="AE25" s="24" t="s">
        <v>132</v>
      </c>
      <c r="AF25" s="24" t="s">
        <v>132</v>
      </c>
      <c r="AG25" s="121"/>
      <c r="AH25" s="121"/>
      <c r="AI25" s="121"/>
      <c r="AJ25" s="121"/>
      <c r="AK25" s="121"/>
      <c r="AL25" s="126">
        <f t="shared" si="0"/>
        <v>235600.8</v>
      </c>
      <c r="AM25" s="112">
        <f>20869.8+6715.04+14154.76+8647.95+1629.14+6715.04+15343.4+20688.63+17149.99+17149.99+6715.06+6715.06+9074.18+10253.76+10253.76</f>
        <v>172075.56000000003</v>
      </c>
      <c r="AN25" s="112">
        <f>8012.58+6715.06+6715.06+6715.06+6715.06</f>
        <v>34872.82</v>
      </c>
      <c r="AO25" s="110">
        <f t="shared" si="1"/>
        <v>206948.38000000003</v>
      </c>
    </row>
    <row r="26" spans="1:41" s="6" customFormat="1" ht="30" x14ac:dyDescent="0.25">
      <c r="A26" s="21" t="s">
        <v>523</v>
      </c>
      <c r="B26" s="22" t="s">
        <v>309</v>
      </c>
      <c r="C26" s="22" t="s">
        <v>237</v>
      </c>
      <c r="D26" s="23" t="s">
        <v>88</v>
      </c>
      <c r="E26" s="23" t="s">
        <v>93</v>
      </c>
      <c r="F26" s="22" t="s">
        <v>153</v>
      </c>
      <c r="G26" s="27">
        <v>12376</v>
      </c>
      <c r="H26" s="25" t="s">
        <v>231</v>
      </c>
      <c r="I26" s="26"/>
      <c r="J26" s="26"/>
      <c r="K26" s="13" t="s">
        <v>308</v>
      </c>
      <c r="L26" s="22" t="s">
        <v>148</v>
      </c>
      <c r="M26" s="22" t="s">
        <v>322</v>
      </c>
      <c r="N26" s="26">
        <v>44237</v>
      </c>
      <c r="O26" s="111">
        <v>1995152.04</v>
      </c>
      <c r="P26" s="27">
        <v>12983</v>
      </c>
      <c r="Q26" s="26">
        <v>44237</v>
      </c>
      <c r="R26" s="26">
        <v>44601</v>
      </c>
      <c r="S26" s="23" t="s">
        <v>198</v>
      </c>
      <c r="T26" s="32" t="s">
        <v>308</v>
      </c>
      <c r="U26" s="23" t="s">
        <v>124</v>
      </c>
      <c r="V26" s="89" t="s">
        <v>132</v>
      </c>
      <c r="W26" s="22" t="s">
        <v>323</v>
      </c>
      <c r="X26" s="22" t="s">
        <v>132</v>
      </c>
      <c r="Y26" s="9">
        <v>2</v>
      </c>
      <c r="Z26" s="26">
        <v>44600</v>
      </c>
      <c r="AA26" s="27">
        <v>13233</v>
      </c>
      <c r="AB26" s="24" t="s">
        <v>114</v>
      </c>
      <c r="AC26" s="26">
        <v>44603</v>
      </c>
      <c r="AD26" s="26">
        <v>44967</v>
      </c>
      <c r="AE26" s="22">
        <v>25</v>
      </c>
      <c r="AF26" s="22" t="s">
        <v>132</v>
      </c>
      <c r="AG26" s="89"/>
      <c r="AH26" s="89"/>
      <c r="AI26" s="89"/>
      <c r="AJ26" s="89"/>
      <c r="AK26" s="89"/>
      <c r="AL26" s="126">
        <f t="shared" si="0"/>
        <v>1995152.04</v>
      </c>
      <c r="AM26" s="112">
        <f>42980.25+77917.44+86591.33+88192.93+3919.41+37385.08+13402.03+2536.34+6455.75+20902.77+54597.09+55630.43+6737.57+2818.16+19219.47+19219.47+24445.35+6737.57+34494.72+57347.34+39229.12</f>
        <v>700759.61999999988</v>
      </c>
      <c r="AN26" s="112">
        <f>39229.12+28673.67+23138.88+62368+28673.67+65733.1+28673.67+25957.04+71720.67+37744.51+20523.78+96996.9+5433.26</f>
        <v>534866.27</v>
      </c>
      <c r="AO26" s="110">
        <f t="shared" si="1"/>
        <v>1235625.8899999999</v>
      </c>
    </row>
    <row r="27" spans="1:41" s="6" customFormat="1" ht="30" x14ac:dyDescent="0.25">
      <c r="A27" s="21" t="s">
        <v>524</v>
      </c>
      <c r="B27" s="22" t="s">
        <v>150</v>
      </c>
      <c r="C27" s="22" t="s">
        <v>154</v>
      </c>
      <c r="D27" s="23" t="s">
        <v>88</v>
      </c>
      <c r="E27" s="23" t="s">
        <v>87</v>
      </c>
      <c r="F27" s="22" t="s">
        <v>153</v>
      </c>
      <c r="G27" s="25" t="s">
        <v>157</v>
      </c>
      <c r="H27" s="25" t="s">
        <v>158</v>
      </c>
      <c r="I27" s="42">
        <v>43301</v>
      </c>
      <c r="J27" s="35">
        <v>43666</v>
      </c>
      <c r="K27" s="21" t="s">
        <v>147</v>
      </c>
      <c r="L27" s="27" t="s">
        <v>279</v>
      </c>
      <c r="M27" s="26" t="s">
        <v>152</v>
      </c>
      <c r="N27" s="26">
        <v>43305</v>
      </c>
      <c r="O27" s="114">
        <v>174322.08</v>
      </c>
      <c r="P27" s="27">
        <v>12602</v>
      </c>
      <c r="Q27" s="26">
        <v>43306</v>
      </c>
      <c r="R27" s="26">
        <v>43671</v>
      </c>
      <c r="S27" s="23">
        <v>101</v>
      </c>
      <c r="T27" s="32" t="s">
        <v>147</v>
      </c>
      <c r="U27" s="23" t="s">
        <v>124</v>
      </c>
      <c r="V27" s="89" t="s">
        <v>132</v>
      </c>
      <c r="W27" s="22" t="s">
        <v>111</v>
      </c>
      <c r="X27" s="22" t="s">
        <v>132</v>
      </c>
      <c r="Y27" s="9">
        <v>3</v>
      </c>
      <c r="Z27" s="28">
        <v>44370</v>
      </c>
      <c r="AA27" s="33">
        <v>13099</v>
      </c>
      <c r="AB27" s="24" t="s">
        <v>114</v>
      </c>
      <c r="AC27" s="28">
        <v>44372</v>
      </c>
      <c r="AD27" s="28">
        <v>44736</v>
      </c>
      <c r="AE27" s="24" t="s">
        <v>132</v>
      </c>
      <c r="AF27" s="24" t="s">
        <v>132</v>
      </c>
      <c r="AG27" s="121"/>
      <c r="AH27" s="121"/>
      <c r="AI27" s="121"/>
      <c r="AJ27" s="121"/>
      <c r="AK27" s="121"/>
      <c r="AL27" s="126">
        <f t="shared" si="0"/>
        <v>174322.08</v>
      </c>
      <c r="AM27" s="113">
        <f>2421.14+2986.07+14526.84+14526.84+12912.75+12105.68+13639.09+2421.14+2421.14+2421.14+2421.14+2421.14+2501.84</f>
        <v>87725.95</v>
      </c>
      <c r="AN27" s="113"/>
      <c r="AO27" s="110">
        <f t="shared" si="1"/>
        <v>87725.95</v>
      </c>
    </row>
    <row r="28" spans="1:41" s="6" customFormat="1" ht="90" x14ac:dyDescent="0.25">
      <c r="A28" s="21" t="s">
        <v>525</v>
      </c>
      <c r="B28" s="22" t="s">
        <v>164</v>
      </c>
      <c r="C28" s="13" t="s">
        <v>160</v>
      </c>
      <c r="D28" s="23" t="s">
        <v>88</v>
      </c>
      <c r="E28" s="23" t="s">
        <v>87</v>
      </c>
      <c r="F28" s="22" t="s">
        <v>163</v>
      </c>
      <c r="G28" s="27" t="s">
        <v>132</v>
      </c>
      <c r="H28" s="25" t="s">
        <v>161</v>
      </c>
      <c r="I28" s="26" t="s">
        <v>132</v>
      </c>
      <c r="J28" s="26" t="s">
        <v>132</v>
      </c>
      <c r="K28" s="13" t="s">
        <v>165</v>
      </c>
      <c r="L28" s="22" t="s">
        <v>159</v>
      </c>
      <c r="M28" s="22" t="s">
        <v>162</v>
      </c>
      <c r="N28" s="26">
        <v>43644</v>
      </c>
      <c r="O28" s="111">
        <v>250000</v>
      </c>
      <c r="P28" s="27">
        <v>12587</v>
      </c>
      <c r="Q28" s="26">
        <v>43644</v>
      </c>
      <c r="R28" s="115">
        <v>44010</v>
      </c>
      <c r="S28" s="23">
        <v>101</v>
      </c>
      <c r="T28" s="32" t="s">
        <v>165</v>
      </c>
      <c r="U28" s="23" t="s">
        <v>124</v>
      </c>
      <c r="V28" s="89" t="s">
        <v>132</v>
      </c>
      <c r="W28" s="22" t="s">
        <v>111</v>
      </c>
      <c r="X28" s="22" t="s">
        <v>132</v>
      </c>
      <c r="Y28" s="9">
        <v>1</v>
      </c>
      <c r="Z28" s="22" t="s">
        <v>132</v>
      </c>
      <c r="AA28" s="22">
        <v>12828</v>
      </c>
      <c r="AB28" s="22" t="s">
        <v>114</v>
      </c>
      <c r="AC28" s="28">
        <v>44376</v>
      </c>
      <c r="AD28" s="28">
        <v>44740</v>
      </c>
      <c r="AE28" s="22" t="s">
        <v>132</v>
      </c>
      <c r="AF28" s="22" t="s">
        <v>132</v>
      </c>
      <c r="AG28" s="89"/>
      <c r="AH28" s="89"/>
      <c r="AI28" s="89"/>
      <c r="AJ28" s="89"/>
      <c r="AK28" s="89"/>
      <c r="AL28" s="126">
        <f t="shared" si="0"/>
        <v>250000</v>
      </c>
      <c r="AM28" s="113">
        <f>33531.56+35974.86</f>
        <v>69506.42</v>
      </c>
      <c r="AN28" s="113"/>
      <c r="AO28" s="110">
        <f t="shared" si="1"/>
        <v>69506.42</v>
      </c>
    </row>
    <row r="29" spans="1:41" s="6" customFormat="1" ht="30" x14ac:dyDescent="0.25">
      <c r="A29" s="21" t="s">
        <v>526</v>
      </c>
      <c r="B29" s="22" t="s">
        <v>169</v>
      </c>
      <c r="C29" s="13" t="s">
        <v>170</v>
      </c>
      <c r="D29" s="23" t="s">
        <v>88</v>
      </c>
      <c r="E29" s="23" t="s">
        <v>87</v>
      </c>
      <c r="F29" s="22" t="s">
        <v>171</v>
      </c>
      <c r="G29" s="27" t="s">
        <v>132</v>
      </c>
      <c r="H29" s="25" t="s">
        <v>155</v>
      </c>
      <c r="I29" s="26" t="s">
        <v>132</v>
      </c>
      <c r="J29" s="26" t="s">
        <v>132</v>
      </c>
      <c r="K29" s="13" t="s">
        <v>167</v>
      </c>
      <c r="L29" s="22" t="s">
        <v>168</v>
      </c>
      <c r="M29" s="22" t="s">
        <v>172</v>
      </c>
      <c r="N29" s="26">
        <v>43662</v>
      </c>
      <c r="O29" s="111">
        <v>31104.04</v>
      </c>
      <c r="P29" s="27">
        <v>12596</v>
      </c>
      <c r="Q29" s="26">
        <v>43663</v>
      </c>
      <c r="R29" s="36">
        <v>44029</v>
      </c>
      <c r="S29" s="22">
        <v>117</v>
      </c>
      <c r="T29" s="22" t="s">
        <v>167</v>
      </c>
      <c r="U29" s="23" t="s">
        <v>124</v>
      </c>
      <c r="V29" s="89" t="s">
        <v>132</v>
      </c>
      <c r="W29" s="22" t="s">
        <v>111</v>
      </c>
      <c r="X29" s="22" t="s">
        <v>132</v>
      </c>
      <c r="Y29" s="9">
        <v>2</v>
      </c>
      <c r="Z29" s="26">
        <v>44347</v>
      </c>
      <c r="AA29" s="27">
        <v>13065</v>
      </c>
      <c r="AB29" s="26" t="s">
        <v>114</v>
      </c>
      <c r="AC29" s="28">
        <v>44365</v>
      </c>
      <c r="AD29" s="28">
        <v>44759</v>
      </c>
      <c r="AE29" s="24" t="s">
        <v>132</v>
      </c>
      <c r="AF29" s="22" t="s">
        <v>132</v>
      </c>
      <c r="AG29" s="89"/>
      <c r="AH29" s="89"/>
      <c r="AI29" s="89"/>
      <c r="AJ29" s="89"/>
      <c r="AK29" s="89"/>
      <c r="AL29" s="126">
        <f t="shared" si="0"/>
        <v>31104.04</v>
      </c>
      <c r="AM29" s="116">
        <f>67117.68+68236.31+47728.12+39151.98+16779.42+5593.14+111862.8+111862.8+11741.3+23482.6+17611.95+17611.95+20938.65+5870.65+23482.6+23482.6+23482.6+17611.95+5870.65+23482.6+16437.82+29353.25+35223.9+29353.25</f>
        <v>793370.56999999983</v>
      </c>
      <c r="AN29" s="116">
        <f>23482.6+17024.89+27200.68+23482.6+23482.6+29353.25+17611.95+97844.18+17611.95</f>
        <v>277094.7</v>
      </c>
      <c r="AO29" s="110">
        <f t="shared" si="1"/>
        <v>1070465.2699999998</v>
      </c>
    </row>
    <row r="30" spans="1:41" s="6" customFormat="1" x14ac:dyDescent="0.25">
      <c r="A30" s="21" t="s">
        <v>527</v>
      </c>
      <c r="B30" s="22" t="s">
        <v>175</v>
      </c>
      <c r="C30" s="13" t="s">
        <v>90</v>
      </c>
      <c r="D30" s="23" t="s">
        <v>88</v>
      </c>
      <c r="E30" s="23" t="s">
        <v>87</v>
      </c>
      <c r="F30" s="22" t="s">
        <v>178</v>
      </c>
      <c r="G30" s="27" t="s">
        <v>132</v>
      </c>
      <c r="H30" s="25" t="s">
        <v>132</v>
      </c>
      <c r="I30" s="26" t="s">
        <v>132</v>
      </c>
      <c r="J30" s="26" t="s">
        <v>132</v>
      </c>
      <c r="K30" s="38" t="s">
        <v>173</v>
      </c>
      <c r="L30" s="22" t="s">
        <v>314</v>
      </c>
      <c r="M30" s="22" t="s">
        <v>176</v>
      </c>
      <c r="N30" s="26">
        <v>42368</v>
      </c>
      <c r="O30" s="111">
        <v>36000</v>
      </c>
      <c r="P30" s="27" t="s">
        <v>132</v>
      </c>
      <c r="Q30" s="26">
        <v>42368</v>
      </c>
      <c r="R30" s="26">
        <v>42733</v>
      </c>
      <c r="S30" s="22">
        <v>101</v>
      </c>
      <c r="T30" s="22" t="s">
        <v>173</v>
      </c>
      <c r="U30" s="23" t="s">
        <v>124</v>
      </c>
      <c r="V30" s="89" t="s">
        <v>132</v>
      </c>
      <c r="W30" s="22" t="s">
        <v>111</v>
      </c>
      <c r="X30" s="22" t="s">
        <v>132</v>
      </c>
      <c r="Y30" s="9">
        <v>7</v>
      </c>
      <c r="Z30" s="26">
        <v>44553</v>
      </c>
      <c r="AA30" s="27">
        <v>13197</v>
      </c>
      <c r="AB30" s="22" t="s">
        <v>114</v>
      </c>
      <c r="AC30" s="28">
        <v>44559</v>
      </c>
      <c r="AD30" s="28">
        <v>44923</v>
      </c>
      <c r="AE30" s="22" t="s">
        <v>132</v>
      </c>
      <c r="AF30" s="22" t="s">
        <v>132</v>
      </c>
      <c r="AG30" s="89"/>
      <c r="AH30" s="89"/>
      <c r="AI30" s="89"/>
      <c r="AJ30" s="89"/>
      <c r="AK30" s="89"/>
      <c r="AL30" s="126">
        <f t="shared" si="0"/>
        <v>36000</v>
      </c>
      <c r="AM30" s="116">
        <f>3129.34+3129.34+3129.34+3129.34+3129.34+3129.34+3129.34+3129.34+3129.34+3129.34+3129.34+3129.34</f>
        <v>37552.080000000002</v>
      </c>
      <c r="AN30" s="116">
        <f>3129.34+3129.34+3129.34+3129.34+3129.34</f>
        <v>15646.7</v>
      </c>
      <c r="AO30" s="110">
        <f t="shared" si="1"/>
        <v>53198.78</v>
      </c>
    </row>
    <row r="31" spans="1:41" s="6" customFormat="1" ht="30" x14ac:dyDescent="0.25">
      <c r="A31" s="21" t="s">
        <v>326</v>
      </c>
      <c r="B31" s="22" t="s">
        <v>194</v>
      </c>
      <c r="C31" s="22" t="s">
        <v>195</v>
      </c>
      <c r="D31" s="39" t="s">
        <v>88</v>
      </c>
      <c r="E31" s="39" t="s">
        <v>87</v>
      </c>
      <c r="F31" s="22" t="s">
        <v>189</v>
      </c>
      <c r="G31" s="40">
        <v>12654</v>
      </c>
      <c r="H31" s="41" t="s">
        <v>200</v>
      </c>
      <c r="I31" s="42" t="s">
        <v>132</v>
      </c>
      <c r="J31" s="42" t="s">
        <v>132</v>
      </c>
      <c r="K31" s="38" t="s">
        <v>184</v>
      </c>
      <c r="L31" s="13" t="s">
        <v>185</v>
      </c>
      <c r="M31" s="13" t="s">
        <v>186</v>
      </c>
      <c r="N31" s="42">
        <v>43747</v>
      </c>
      <c r="O31" s="117">
        <v>762648</v>
      </c>
      <c r="P31" s="40">
        <v>12654</v>
      </c>
      <c r="Q31" s="42">
        <v>43747</v>
      </c>
      <c r="R31" s="42">
        <v>44113</v>
      </c>
      <c r="S31" s="39">
        <v>101</v>
      </c>
      <c r="T31" s="13" t="s">
        <v>184</v>
      </c>
      <c r="U31" s="13" t="s">
        <v>190</v>
      </c>
      <c r="V31" s="90" t="s">
        <v>132</v>
      </c>
      <c r="W31" s="13" t="s">
        <v>111</v>
      </c>
      <c r="X31" s="13" t="s">
        <v>132</v>
      </c>
      <c r="Y31" s="5">
        <v>3</v>
      </c>
      <c r="Z31" s="42">
        <v>44477</v>
      </c>
      <c r="AA31" s="40">
        <v>13149</v>
      </c>
      <c r="AB31" s="42" t="s">
        <v>139</v>
      </c>
      <c r="AC31" s="34">
        <v>44478</v>
      </c>
      <c r="AD31" s="34">
        <v>44842</v>
      </c>
      <c r="AE31" s="13" t="s">
        <v>132</v>
      </c>
      <c r="AF31" s="13" t="s">
        <v>132</v>
      </c>
      <c r="AG31" s="90"/>
      <c r="AH31" s="90"/>
      <c r="AI31" s="90"/>
      <c r="AJ31" s="90"/>
      <c r="AK31" s="90"/>
      <c r="AL31" s="126">
        <f t="shared" si="0"/>
        <v>762648</v>
      </c>
      <c r="AM31" s="116">
        <f>36753.92+9188.48+27565.44+11485.6+6891.36+11485.6+2297.12+9188.48+64349.34+76049.22+14624.85+2924.97+17549.82+11699.88+8774.91+17549.82+14624.85+11699.88+8774.91+20298.25+10149.13+16915.21+10149.13+10648.83+21297.66+10648.83+17748.05+21297.66+17748.05+10648.83</f>
        <v>531028.07999999984</v>
      </c>
      <c r="AN31" s="116">
        <f>21297.66+17748.05+7099.22+7099.22+17748.05+21297.66+7099.22+17748.05+21297.66+14198.44+21297.66+7099.22+10648.83+7099.22+14198.44+10648.83</f>
        <v>223625.43</v>
      </c>
      <c r="AO31" s="110">
        <f t="shared" si="1"/>
        <v>754653.50999999978</v>
      </c>
    </row>
    <row r="32" spans="1:41" s="6" customFormat="1" ht="30" x14ac:dyDescent="0.25">
      <c r="A32" s="21" t="s">
        <v>327</v>
      </c>
      <c r="B32" s="22" t="s">
        <v>187</v>
      </c>
      <c r="C32" s="22" t="s">
        <v>188</v>
      </c>
      <c r="D32" s="39" t="s">
        <v>88</v>
      </c>
      <c r="E32" s="39" t="s">
        <v>87</v>
      </c>
      <c r="F32" s="22" t="s">
        <v>189</v>
      </c>
      <c r="G32" s="40" t="s">
        <v>132</v>
      </c>
      <c r="H32" s="41" t="s">
        <v>199</v>
      </c>
      <c r="I32" s="42" t="s">
        <v>132</v>
      </c>
      <c r="J32" s="42" t="s">
        <v>132</v>
      </c>
      <c r="K32" s="38" t="s">
        <v>180</v>
      </c>
      <c r="L32" s="13" t="s">
        <v>146</v>
      </c>
      <c r="M32" s="13" t="s">
        <v>181</v>
      </c>
      <c r="N32" s="42">
        <v>44344</v>
      </c>
      <c r="O32" s="117">
        <v>1098144.57</v>
      </c>
      <c r="P32" s="40">
        <v>12568</v>
      </c>
      <c r="Q32" s="42">
        <v>44348</v>
      </c>
      <c r="R32" s="42">
        <v>44712</v>
      </c>
      <c r="S32" s="39">
        <v>101</v>
      </c>
      <c r="T32" s="13" t="s">
        <v>180</v>
      </c>
      <c r="U32" s="13" t="s">
        <v>190</v>
      </c>
      <c r="V32" s="90" t="s">
        <v>132</v>
      </c>
      <c r="W32" s="13" t="s">
        <v>111</v>
      </c>
      <c r="X32" s="13" t="s">
        <v>132</v>
      </c>
      <c r="Y32" s="11">
        <v>4</v>
      </c>
      <c r="Z32" s="42">
        <v>44344</v>
      </c>
      <c r="AA32" s="40">
        <v>13056</v>
      </c>
      <c r="AB32" s="13" t="s">
        <v>114</v>
      </c>
      <c r="AC32" s="34">
        <v>44348</v>
      </c>
      <c r="AD32" s="34">
        <v>44712</v>
      </c>
      <c r="AE32" s="45">
        <v>0.05</v>
      </c>
      <c r="AF32" s="13" t="s">
        <v>132</v>
      </c>
      <c r="AG32" s="90"/>
      <c r="AH32" s="90"/>
      <c r="AI32" s="90"/>
      <c r="AJ32" s="90"/>
      <c r="AK32" s="90"/>
      <c r="AL32" s="126">
        <f t="shared" si="0"/>
        <v>1098144.57</v>
      </c>
      <c r="AM32" s="116">
        <f>98161.92+84528.32+1363.36+29903.03+5453.44+13633.6+2726.72+62169.22+113795.11+113704.22+81528.93+5453.44+37265.18+13633.6+10906.88+6816.8+10906.88+15633.19+34174.89+10906.88+18541.7+35447.36+10906.88+8180.16+10906.88+10906.88+35447.36+8180.16+10906.88+19087.04+12541.64+21947.87+12541.64+50268.87+43895.74+9406.23</f>
        <v>1071778.8999999999</v>
      </c>
      <c r="AN32" s="116">
        <f>12541.64+43895.74+21947.87+12541.64+9406.23+21947.87+12541.64+9406.23+49330.45+12541.64+12541.64+48807.88+12541.64+9406.23+21947.87+9406.23+12541.64+12541.64+21947.87+3135.41+12541.64+9406.23+12541.64+75249.84+18812.46</f>
        <v>499470.81</v>
      </c>
      <c r="AO32" s="110">
        <f t="shared" si="1"/>
        <v>1571249.71</v>
      </c>
    </row>
    <row r="33" spans="1:41" s="6" customFormat="1" ht="30" x14ac:dyDescent="0.25">
      <c r="A33" s="21" t="s">
        <v>528</v>
      </c>
      <c r="B33" s="13" t="s">
        <v>132</v>
      </c>
      <c r="C33" s="22" t="s">
        <v>191</v>
      </c>
      <c r="D33" s="39" t="s">
        <v>88</v>
      </c>
      <c r="E33" s="39" t="s">
        <v>87</v>
      </c>
      <c r="F33" s="22" t="s">
        <v>189</v>
      </c>
      <c r="G33" s="40" t="s">
        <v>132</v>
      </c>
      <c r="H33" s="41" t="s">
        <v>196</v>
      </c>
      <c r="I33" s="42" t="s">
        <v>132</v>
      </c>
      <c r="J33" s="42" t="s">
        <v>132</v>
      </c>
      <c r="K33" s="38" t="s">
        <v>183</v>
      </c>
      <c r="L33" s="13" t="s">
        <v>146</v>
      </c>
      <c r="M33" s="13" t="s">
        <v>181</v>
      </c>
      <c r="N33" s="42">
        <v>43616</v>
      </c>
      <c r="O33" s="111">
        <v>325884</v>
      </c>
      <c r="P33" s="27">
        <v>12602</v>
      </c>
      <c r="Q33" s="26">
        <v>43661</v>
      </c>
      <c r="R33" s="26">
        <v>43997</v>
      </c>
      <c r="S33" s="23">
        <v>101</v>
      </c>
      <c r="T33" s="13" t="s">
        <v>183</v>
      </c>
      <c r="U33" s="13" t="s">
        <v>190</v>
      </c>
      <c r="V33" s="90" t="s">
        <v>132</v>
      </c>
      <c r="W33" s="13" t="s">
        <v>111</v>
      </c>
      <c r="X33" s="13" t="s">
        <v>132</v>
      </c>
      <c r="Y33" s="5">
        <v>3</v>
      </c>
      <c r="Z33" s="42">
        <v>44391</v>
      </c>
      <c r="AA33" s="40">
        <v>13087</v>
      </c>
      <c r="AB33" s="13" t="s">
        <v>115</v>
      </c>
      <c r="AC33" s="34">
        <v>44393</v>
      </c>
      <c r="AD33" s="34">
        <v>44757</v>
      </c>
      <c r="AE33" s="13" t="s">
        <v>132</v>
      </c>
      <c r="AF33" s="13" t="s">
        <v>132</v>
      </c>
      <c r="AG33" s="90"/>
      <c r="AH33" s="90"/>
      <c r="AI33" s="90"/>
      <c r="AJ33" s="90"/>
      <c r="AK33" s="90"/>
      <c r="AL33" s="126">
        <f t="shared" si="0"/>
        <v>325884</v>
      </c>
      <c r="AM33" s="116">
        <f>19392.59+15262.03+8401.12+9241.22+6300.84+2009.93+15887.35+11761.56+27306.41+29788.8+4302.82+9929.6+7447.2+2482.4+9929.6+2482.4+9929.6+7447.2+2482.4+7447.2+9929.6+7447.2+12412</f>
        <v>239021.07000000007</v>
      </c>
      <c r="AN33" s="116">
        <f>12412+7447.2+4964.8+12412+12412+4964.8+12412+4964.8+4964.8+12412</f>
        <v>89366.400000000009</v>
      </c>
      <c r="AO33" s="110">
        <f t="shared" si="1"/>
        <v>328387.47000000009</v>
      </c>
    </row>
    <row r="34" spans="1:41" s="6" customFormat="1" ht="45" x14ac:dyDescent="0.25">
      <c r="A34" s="21" t="s">
        <v>529</v>
      </c>
      <c r="B34" s="22" t="s">
        <v>192</v>
      </c>
      <c r="C34" s="22" t="s">
        <v>193</v>
      </c>
      <c r="D34" s="39" t="s">
        <v>88</v>
      </c>
      <c r="E34" s="39" t="s">
        <v>87</v>
      </c>
      <c r="F34" s="22" t="s">
        <v>108</v>
      </c>
      <c r="G34" s="40" t="s">
        <v>132</v>
      </c>
      <c r="H34" s="41" t="s">
        <v>197</v>
      </c>
      <c r="I34" s="42" t="s">
        <v>132</v>
      </c>
      <c r="J34" s="42">
        <v>0</v>
      </c>
      <c r="K34" s="38" t="s">
        <v>182</v>
      </c>
      <c r="L34" s="13" t="s">
        <v>146</v>
      </c>
      <c r="M34" s="13" t="s">
        <v>181</v>
      </c>
      <c r="N34" s="42" t="s">
        <v>132</v>
      </c>
      <c r="O34" s="117">
        <v>239468.98</v>
      </c>
      <c r="P34" s="40">
        <v>12632</v>
      </c>
      <c r="Q34" s="42" t="s">
        <v>132</v>
      </c>
      <c r="R34" s="42" t="s">
        <v>132</v>
      </c>
      <c r="S34" s="39" t="s">
        <v>198</v>
      </c>
      <c r="T34" s="13" t="s">
        <v>182</v>
      </c>
      <c r="U34" s="13" t="s">
        <v>190</v>
      </c>
      <c r="V34" s="90" t="s">
        <v>132</v>
      </c>
      <c r="W34" s="13" t="s">
        <v>111</v>
      </c>
      <c r="X34" s="13" t="s">
        <v>132</v>
      </c>
      <c r="Y34" s="5">
        <v>4</v>
      </c>
      <c r="Z34" s="42">
        <v>44593</v>
      </c>
      <c r="AA34" s="40">
        <v>13228</v>
      </c>
      <c r="AB34" s="13" t="s">
        <v>300</v>
      </c>
      <c r="AC34" s="42">
        <v>44439</v>
      </c>
      <c r="AD34" s="42">
        <v>44803</v>
      </c>
      <c r="AE34" s="13" t="s">
        <v>132</v>
      </c>
      <c r="AF34" s="13" t="s">
        <v>132</v>
      </c>
      <c r="AG34" s="90"/>
      <c r="AH34" s="90"/>
      <c r="AI34" s="90"/>
      <c r="AJ34" s="90"/>
      <c r="AK34" s="90"/>
      <c r="AL34" s="126">
        <f t="shared" si="0"/>
        <v>239468.98</v>
      </c>
      <c r="AM34" s="116">
        <f>8062.8+8888.13+13233.47+20738.94+20738.97+20738.96+20738.96+11850.84+11850.84+11850.84+11850.84+11850.84</f>
        <v>172394.42999999996</v>
      </c>
      <c r="AN34" s="116">
        <f>11850.84+15219.19+15552.46+16663.35+16663.35</f>
        <v>75949.19</v>
      </c>
      <c r="AO34" s="110">
        <f t="shared" si="1"/>
        <v>248343.61999999997</v>
      </c>
    </row>
    <row r="35" spans="1:41" s="6" customFormat="1" ht="45" x14ac:dyDescent="0.25">
      <c r="A35" s="21" t="s">
        <v>328</v>
      </c>
      <c r="B35" s="22" t="s">
        <v>202</v>
      </c>
      <c r="C35" s="22" t="s">
        <v>132</v>
      </c>
      <c r="D35" s="39" t="s">
        <v>88</v>
      </c>
      <c r="E35" s="39" t="s">
        <v>87</v>
      </c>
      <c r="F35" s="22" t="s">
        <v>203</v>
      </c>
      <c r="G35" s="40" t="s">
        <v>132</v>
      </c>
      <c r="H35" s="40" t="s">
        <v>132</v>
      </c>
      <c r="I35" s="40" t="s">
        <v>132</v>
      </c>
      <c r="J35" s="40" t="s">
        <v>132</v>
      </c>
      <c r="K35" s="38" t="s">
        <v>201</v>
      </c>
      <c r="L35" s="13" t="s">
        <v>99</v>
      </c>
      <c r="M35" s="13" t="s">
        <v>100</v>
      </c>
      <c r="N35" s="42">
        <v>43739</v>
      </c>
      <c r="O35" s="117">
        <v>144000</v>
      </c>
      <c r="P35" s="40">
        <v>12653</v>
      </c>
      <c r="Q35" s="42">
        <v>43739</v>
      </c>
      <c r="R35" s="42">
        <v>44105</v>
      </c>
      <c r="S35" s="39">
        <v>117</v>
      </c>
      <c r="T35" s="13" t="s">
        <v>201</v>
      </c>
      <c r="U35" s="13" t="s">
        <v>190</v>
      </c>
      <c r="V35" s="90" t="s">
        <v>132</v>
      </c>
      <c r="W35" s="13" t="s">
        <v>110</v>
      </c>
      <c r="X35" s="13" t="s">
        <v>132</v>
      </c>
      <c r="Y35" s="5">
        <v>2</v>
      </c>
      <c r="Z35" s="42">
        <v>44469</v>
      </c>
      <c r="AA35" s="40">
        <v>13141</v>
      </c>
      <c r="AB35" s="13" t="s">
        <v>114</v>
      </c>
      <c r="AC35" s="34">
        <v>44471</v>
      </c>
      <c r="AD35" s="34">
        <v>44835</v>
      </c>
      <c r="AE35" s="13" t="s">
        <v>132</v>
      </c>
      <c r="AF35" s="13" t="s">
        <v>132</v>
      </c>
      <c r="AG35" s="90"/>
      <c r="AH35" s="90"/>
      <c r="AI35" s="90"/>
      <c r="AJ35" s="90"/>
      <c r="AK35" s="90"/>
      <c r="AL35" s="126">
        <f t="shared" si="0"/>
        <v>144000</v>
      </c>
      <c r="AM35" s="116">
        <f>12000+12000+12000+12000+12000</f>
        <v>60000</v>
      </c>
      <c r="AN35" s="116">
        <f>12000+12000+12000+12000+12000</f>
        <v>60000</v>
      </c>
      <c r="AO35" s="110">
        <f t="shared" si="1"/>
        <v>120000</v>
      </c>
    </row>
    <row r="36" spans="1:41" s="6" customFormat="1" ht="30" x14ac:dyDescent="0.25">
      <c r="A36" s="21" t="s">
        <v>329</v>
      </c>
      <c r="B36" s="22" t="s">
        <v>210</v>
      </c>
      <c r="C36" s="22" t="s">
        <v>211</v>
      </c>
      <c r="D36" s="39" t="s">
        <v>88</v>
      </c>
      <c r="E36" s="39" t="s">
        <v>87</v>
      </c>
      <c r="F36" s="22" t="s">
        <v>212</v>
      </c>
      <c r="G36" s="40">
        <v>12780</v>
      </c>
      <c r="H36" s="40" t="s">
        <v>132</v>
      </c>
      <c r="I36" s="40" t="s">
        <v>132</v>
      </c>
      <c r="J36" s="40" t="s">
        <v>132</v>
      </c>
      <c r="K36" s="38" t="s">
        <v>206</v>
      </c>
      <c r="L36" s="13" t="s">
        <v>205</v>
      </c>
      <c r="M36" s="13" t="s">
        <v>101</v>
      </c>
      <c r="N36" s="42">
        <v>43909</v>
      </c>
      <c r="O36" s="117">
        <v>1445904</v>
      </c>
      <c r="P36" s="40">
        <v>12777</v>
      </c>
      <c r="Q36" s="42">
        <v>43909</v>
      </c>
      <c r="R36" s="42">
        <v>44273</v>
      </c>
      <c r="S36" s="39" t="s">
        <v>198</v>
      </c>
      <c r="T36" s="13" t="s">
        <v>206</v>
      </c>
      <c r="U36" s="13" t="s">
        <v>190</v>
      </c>
      <c r="V36" s="90" t="s">
        <v>132</v>
      </c>
      <c r="W36" s="13" t="s">
        <v>111</v>
      </c>
      <c r="X36" s="13" t="s">
        <v>132</v>
      </c>
      <c r="Y36" s="5">
        <v>2</v>
      </c>
      <c r="Z36" s="42">
        <v>44638</v>
      </c>
      <c r="AA36" s="40">
        <v>13251</v>
      </c>
      <c r="AB36" s="13" t="s">
        <v>114</v>
      </c>
      <c r="AC36" s="34">
        <v>44639</v>
      </c>
      <c r="AD36" s="34">
        <v>45003</v>
      </c>
      <c r="AE36" s="13" t="s">
        <v>132</v>
      </c>
      <c r="AF36" s="13" t="s">
        <v>132</v>
      </c>
      <c r="AG36" s="90"/>
      <c r="AH36" s="90"/>
      <c r="AI36" s="90"/>
      <c r="AJ36" s="90"/>
      <c r="AK36" s="90"/>
      <c r="AL36" s="126">
        <f t="shared" si="0"/>
        <v>1445904</v>
      </c>
      <c r="AM36" s="116">
        <f>6009.6+741.6+2244+2971.2+765.6+3076.8+2296.8+2268+660+3024+3804+2838+2253.6+3756+3828+2296.8+2282.4+3804+1725.6+3794.4+1502.4+3756+3612.6+856+3273.44+765.6</f>
        <v>68206.440000000017</v>
      </c>
      <c r="AN36" s="116">
        <f>865.6+756+751.2+684+236.4+760.8+6009.6+2224.8+2871.6+1531.2+6067.2+2993.4</f>
        <v>25751.800000000003</v>
      </c>
      <c r="AO36" s="110">
        <f t="shared" si="1"/>
        <v>93958.24000000002</v>
      </c>
    </row>
    <row r="37" spans="1:41" s="6" customFormat="1" ht="30" x14ac:dyDescent="0.25">
      <c r="A37" s="21" t="s">
        <v>330</v>
      </c>
      <c r="B37" s="22" t="s">
        <v>210</v>
      </c>
      <c r="C37" s="22" t="s">
        <v>211</v>
      </c>
      <c r="D37" s="39" t="s">
        <v>88</v>
      </c>
      <c r="E37" s="39" t="s">
        <v>87</v>
      </c>
      <c r="F37" s="22" t="s">
        <v>212</v>
      </c>
      <c r="G37" s="40">
        <v>12798</v>
      </c>
      <c r="H37" s="40" t="s">
        <v>132</v>
      </c>
      <c r="I37" s="40" t="s">
        <v>132</v>
      </c>
      <c r="J37" s="40" t="s">
        <v>132</v>
      </c>
      <c r="K37" s="38" t="s">
        <v>208</v>
      </c>
      <c r="L37" s="13" t="s">
        <v>207</v>
      </c>
      <c r="M37" s="13" t="s">
        <v>102</v>
      </c>
      <c r="N37" s="42">
        <v>43910</v>
      </c>
      <c r="O37" s="117">
        <v>1445904</v>
      </c>
      <c r="P37" s="40">
        <v>12798</v>
      </c>
      <c r="Q37" s="42">
        <v>43910</v>
      </c>
      <c r="R37" s="42">
        <v>44275</v>
      </c>
      <c r="S37" s="39" t="s">
        <v>198</v>
      </c>
      <c r="T37" s="13" t="s">
        <v>208</v>
      </c>
      <c r="U37" s="13" t="s">
        <v>190</v>
      </c>
      <c r="V37" s="90" t="s">
        <v>132</v>
      </c>
      <c r="W37" s="13" t="s">
        <v>111</v>
      </c>
      <c r="X37" s="13" t="s">
        <v>132</v>
      </c>
      <c r="Y37" s="5">
        <v>2</v>
      </c>
      <c r="Z37" s="42">
        <v>44638</v>
      </c>
      <c r="AA37" s="40">
        <v>13251</v>
      </c>
      <c r="AB37" s="13" t="s">
        <v>114</v>
      </c>
      <c r="AC37" s="34">
        <v>44641</v>
      </c>
      <c r="AD37" s="34">
        <v>45005</v>
      </c>
      <c r="AE37" s="13" t="s">
        <v>132</v>
      </c>
      <c r="AF37" s="13" t="s">
        <v>132</v>
      </c>
      <c r="AG37" s="90"/>
      <c r="AH37" s="90"/>
      <c r="AI37" s="90"/>
      <c r="AJ37" s="90"/>
      <c r="AK37" s="90"/>
      <c r="AL37" s="126">
        <f t="shared" si="0"/>
        <v>1445904</v>
      </c>
      <c r="AM37" s="116">
        <f>10013.2+391.6+3626.4+1483.2+2224.8+668.4+415.6+2258.4+765.6+4084.8+310+2832+2157.6+2547.6+1536+310+1502.4+310+1531.2+1521.6+850.8+10244.8+751.2+706.6+9947.85+765.6+21568</f>
        <v>85325.25</v>
      </c>
      <c r="AN37" s="116">
        <f>19312+511.33+3197.73+9981.59+12019.2</f>
        <v>45021.850000000006</v>
      </c>
      <c r="AO37" s="110">
        <f t="shared" si="1"/>
        <v>130347.1</v>
      </c>
    </row>
    <row r="38" spans="1:41" s="6" customFormat="1" x14ac:dyDescent="0.25">
      <c r="A38" s="21" t="s">
        <v>331</v>
      </c>
      <c r="B38" s="22" t="s">
        <v>213</v>
      </c>
      <c r="C38" s="22" t="s">
        <v>214</v>
      </c>
      <c r="D38" s="39" t="s">
        <v>88</v>
      </c>
      <c r="E38" s="39" t="s">
        <v>87</v>
      </c>
      <c r="F38" s="22" t="s">
        <v>138</v>
      </c>
      <c r="G38" s="40">
        <v>12750</v>
      </c>
      <c r="H38" s="40" t="s">
        <v>215</v>
      </c>
      <c r="I38" s="42">
        <v>43888</v>
      </c>
      <c r="J38" s="42">
        <v>44254</v>
      </c>
      <c r="K38" s="38" t="s">
        <v>209</v>
      </c>
      <c r="L38" s="13" t="s">
        <v>278</v>
      </c>
      <c r="M38" s="13" t="s">
        <v>122</v>
      </c>
      <c r="N38" s="42">
        <v>43955</v>
      </c>
      <c r="O38" s="117">
        <v>222912</v>
      </c>
      <c r="P38" s="40">
        <v>12798</v>
      </c>
      <c r="Q38" s="42">
        <v>43955</v>
      </c>
      <c r="R38" s="42">
        <v>44196</v>
      </c>
      <c r="S38" s="39">
        <v>117</v>
      </c>
      <c r="T38" s="13" t="s">
        <v>209</v>
      </c>
      <c r="U38" s="13" t="s">
        <v>190</v>
      </c>
      <c r="V38" s="90" t="s">
        <v>132</v>
      </c>
      <c r="W38" s="13" t="s">
        <v>111</v>
      </c>
      <c r="X38" s="13" t="s">
        <v>132</v>
      </c>
      <c r="Y38" s="5">
        <v>5</v>
      </c>
      <c r="Z38" s="42">
        <v>44657</v>
      </c>
      <c r="AA38" s="40">
        <v>13271</v>
      </c>
      <c r="AB38" s="13" t="s">
        <v>496</v>
      </c>
      <c r="AC38" s="42">
        <v>44562</v>
      </c>
      <c r="AD38" s="42">
        <v>44926</v>
      </c>
      <c r="AE38" s="46">
        <v>0.22220000000000001</v>
      </c>
      <c r="AF38" s="13" t="s">
        <v>132</v>
      </c>
      <c r="AG38" s="90"/>
      <c r="AH38" s="90"/>
      <c r="AI38" s="90"/>
      <c r="AJ38" s="90"/>
      <c r="AK38" s="90"/>
      <c r="AL38" s="126">
        <f t="shared" si="0"/>
        <v>222912</v>
      </c>
      <c r="AM38" s="116">
        <f>12052.8+7231.68+4821.12+4821.12+7231.68+2410.56+2410.56+2410.56+12052.8+7231.68+12052.8+7231.68+13900.89+14463.36+4821.12+1687.39+4821.12+16873.92+16873.92+4821.12+16873.92+911.4+4821.12+2410.56+4821.12+14463.36+4821.12+16873.92</f>
        <v>226218.39999999991</v>
      </c>
      <c r="AN38" s="116">
        <f>4821.12+16873.92+5260.88+18413.08+5260.88+18413.08+18413.08+7452.91</f>
        <v>94908.95</v>
      </c>
      <c r="AO38" s="110">
        <f t="shared" si="1"/>
        <v>321127.34999999992</v>
      </c>
    </row>
    <row r="39" spans="1:41" s="6" customFormat="1" x14ac:dyDescent="0.25">
      <c r="A39" s="21" t="s">
        <v>332</v>
      </c>
      <c r="B39" s="22" t="s">
        <v>213</v>
      </c>
      <c r="C39" s="22" t="s">
        <v>214</v>
      </c>
      <c r="D39" s="39" t="s">
        <v>88</v>
      </c>
      <c r="E39" s="39" t="s">
        <v>87</v>
      </c>
      <c r="F39" s="22" t="s">
        <v>138</v>
      </c>
      <c r="G39" s="40"/>
      <c r="H39" s="40" t="s">
        <v>215</v>
      </c>
      <c r="I39" s="42"/>
      <c r="J39" s="42"/>
      <c r="K39" s="38" t="s">
        <v>307</v>
      </c>
      <c r="L39" s="13" t="s">
        <v>278</v>
      </c>
      <c r="M39" s="13" t="s">
        <v>315</v>
      </c>
      <c r="N39" s="42">
        <v>44239</v>
      </c>
      <c r="O39" s="117">
        <v>90960</v>
      </c>
      <c r="P39" s="40">
        <v>12989</v>
      </c>
      <c r="Q39" s="42">
        <v>44239</v>
      </c>
      <c r="R39" s="42">
        <v>44604</v>
      </c>
      <c r="S39" s="13" t="s">
        <v>198</v>
      </c>
      <c r="T39" s="13"/>
      <c r="U39" s="13" t="s">
        <v>190</v>
      </c>
      <c r="V39" s="90" t="s">
        <v>132</v>
      </c>
      <c r="W39" s="13" t="s">
        <v>111</v>
      </c>
      <c r="X39" s="13" t="s">
        <v>132</v>
      </c>
      <c r="Y39" s="5">
        <v>1</v>
      </c>
      <c r="Z39" s="42">
        <v>44600</v>
      </c>
      <c r="AA39" s="40">
        <v>13233</v>
      </c>
      <c r="AB39" s="13" t="s">
        <v>139</v>
      </c>
      <c r="AC39" s="34">
        <v>44604</v>
      </c>
      <c r="AD39" s="34">
        <v>44968</v>
      </c>
      <c r="AE39" s="13" t="s">
        <v>132</v>
      </c>
      <c r="AF39" s="13" t="s">
        <v>132</v>
      </c>
      <c r="AG39" s="90"/>
      <c r="AH39" s="90"/>
      <c r="AI39" s="90"/>
      <c r="AJ39" s="90"/>
      <c r="AK39" s="90"/>
      <c r="AL39" s="126">
        <f t="shared" si="0"/>
        <v>90960</v>
      </c>
      <c r="AM39" s="116">
        <f>1894.99+3790+3790+3790+3790+3790+3790+3790+3790</f>
        <v>32214.989999999998</v>
      </c>
      <c r="AN39" s="116">
        <f>6190.33</f>
        <v>6190.33</v>
      </c>
      <c r="AO39" s="110">
        <f t="shared" si="1"/>
        <v>38405.32</v>
      </c>
    </row>
    <row r="40" spans="1:41" s="6" customFormat="1" ht="75" x14ac:dyDescent="0.25">
      <c r="A40" s="21" t="s">
        <v>333</v>
      </c>
      <c r="B40" s="22" t="s">
        <v>305</v>
      </c>
      <c r="C40" s="22" t="s">
        <v>318</v>
      </c>
      <c r="D40" s="39" t="s">
        <v>88</v>
      </c>
      <c r="E40" s="39" t="s">
        <v>87</v>
      </c>
      <c r="F40" s="22" t="s">
        <v>217</v>
      </c>
      <c r="G40" s="40" t="s">
        <v>132</v>
      </c>
      <c r="H40" s="40" t="s">
        <v>303</v>
      </c>
      <c r="I40" s="42"/>
      <c r="J40" s="42"/>
      <c r="K40" s="38" t="s">
        <v>319</v>
      </c>
      <c r="L40" s="13" t="s">
        <v>177</v>
      </c>
      <c r="M40" s="13" t="s">
        <v>216</v>
      </c>
      <c r="N40" s="42">
        <v>44238</v>
      </c>
      <c r="O40" s="117">
        <v>184073</v>
      </c>
      <c r="P40" s="40"/>
      <c r="Q40" s="42">
        <v>44238</v>
      </c>
      <c r="R40" s="42">
        <v>44561</v>
      </c>
      <c r="S40" s="39" t="s">
        <v>198</v>
      </c>
      <c r="T40" s="13"/>
      <c r="U40" s="13" t="s">
        <v>190</v>
      </c>
      <c r="V40" s="90"/>
      <c r="W40" s="13" t="s">
        <v>112</v>
      </c>
      <c r="X40" s="13"/>
      <c r="Y40" s="5"/>
      <c r="Z40" s="13"/>
      <c r="AA40" s="13"/>
      <c r="AB40" s="13"/>
      <c r="AC40" s="47"/>
      <c r="AD40" s="47"/>
      <c r="AE40" s="13"/>
      <c r="AF40" s="13"/>
      <c r="AG40" s="90"/>
      <c r="AH40" s="90"/>
      <c r="AI40" s="90"/>
      <c r="AJ40" s="90"/>
      <c r="AK40" s="90"/>
      <c r="AL40" s="126">
        <f t="shared" si="0"/>
        <v>184073</v>
      </c>
      <c r="AM40" s="116">
        <f>3876.7+6974.12+3201.2</f>
        <v>14052.02</v>
      </c>
      <c r="AN40" s="116">
        <v>23050</v>
      </c>
      <c r="AO40" s="110">
        <f t="shared" si="1"/>
        <v>37102.020000000004</v>
      </c>
    </row>
    <row r="41" spans="1:41" s="6" customFormat="1" ht="60" x14ac:dyDescent="0.25">
      <c r="A41" s="21" t="s">
        <v>530</v>
      </c>
      <c r="B41" s="22" t="s">
        <v>220</v>
      </c>
      <c r="C41" s="22" t="s">
        <v>221</v>
      </c>
      <c r="D41" s="39" t="s">
        <v>88</v>
      </c>
      <c r="E41" s="39" t="s">
        <v>87</v>
      </c>
      <c r="F41" s="22" t="s">
        <v>222</v>
      </c>
      <c r="G41" s="48" t="s">
        <v>132</v>
      </c>
      <c r="H41" s="40" t="s">
        <v>223</v>
      </c>
      <c r="I41" s="42" t="s">
        <v>132</v>
      </c>
      <c r="J41" s="42" t="s">
        <v>132</v>
      </c>
      <c r="K41" s="38" t="s">
        <v>219</v>
      </c>
      <c r="L41" s="13" t="s">
        <v>218</v>
      </c>
      <c r="M41" s="42" t="s">
        <v>224</v>
      </c>
      <c r="N41" s="42">
        <v>44022</v>
      </c>
      <c r="O41" s="117">
        <v>25000</v>
      </c>
      <c r="P41" s="40">
        <v>12847</v>
      </c>
      <c r="Q41" s="42">
        <v>44022</v>
      </c>
      <c r="R41" s="42">
        <v>44387</v>
      </c>
      <c r="S41" s="39" t="s">
        <v>198</v>
      </c>
      <c r="T41" s="13" t="s">
        <v>219</v>
      </c>
      <c r="U41" s="13" t="s">
        <v>190</v>
      </c>
      <c r="V41" s="90" t="s">
        <v>132</v>
      </c>
      <c r="W41" s="13" t="s">
        <v>166</v>
      </c>
      <c r="X41" s="13" t="s">
        <v>132</v>
      </c>
      <c r="Y41" s="5">
        <v>1</v>
      </c>
      <c r="Z41" s="42">
        <v>44413</v>
      </c>
      <c r="AA41" s="13" t="s">
        <v>132</v>
      </c>
      <c r="AB41" s="13" t="s">
        <v>139</v>
      </c>
      <c r="AC41" s="34">
        <v>44414</v>
      </c>
      <c r="AD41" s="34">
        <v>44778</v>
      </c>
      <c r="AE41" s="13" t="s">
        <v>132</v>
      </c>
      <c r="AF41" s="13" t="s">
        <v>132</v>
      </c>
      <c r="AG41" s="90"/>
      <c r="AH41" s="90"/>
      <c r="AI41" s="90"/>
      <c r="AJ41" s="90"/>
      <c r="AK41" s="90"/>
      <c r="AL41" s="126">
        <f t="shared" si="0"/>
        <v>25000</v>
      </c>
      <c r="AM41" s="116"/>
      <c r="AN41" s="116"/>
      <c r="AO41" s="110">
        <f t="shared" si="1"/>
        <v>0</v>
      </c>
    </row>
    <row r="42" spans="1:41" s="6" customFormat="1" ht="60" x14ac:dyDescent="0.25">
      <c r="A42" s="21" t="s">
        <v>334</v>
      </c>
      <c r="B42" s="22" t="s">
        <v>174</v>
      </c>
      <c r="C42" s="22" t="s">
        <v>204</v>
      </c>
      <c r="D42" s="39" t="s">
        <v>88</v>
      </c>
      <c r="E42" s="39" t="s">
        <v>87</v>
      </c>
      <c r="F42" s="22" t="s">
        <v>226</v>
      </c>
      <c r="G42" s="48">
        <v>12886</v>
      </c>
      <c r="H42" s="40" t="s">
        <v>215</v>
      </c>
      <c r="I42" s="42">
        <v>44088</v>
      </c>
      <c r="J42" s="42">
        <v>44196</v>
      </c>
      <c r="K42" s="38" t="s">
        <v>227</v>
      </c>
      <c r="L42" s="13" t="s">
        <v>225</v>
      </c>
      <c r="M42" s="22" t="s">
        <v>98</v>
      </c>
      <c r="N42" s="42">
        <v>44088</v>
      </c>
      <c r="O42" s="117">
        <v>86352</v>
      </c>
      <c r="P42" s="40">
        <v>12886</v>
      </c>
      <c r="Q42" s="42">
        <v>44088</v>
      </c>
      <c r="R42" s="42">
        <v>44453</v>
      </c>
      <c r="S42" s="39" t="s">
        <v>198</v>
      </c>
      <c r="T42" s="13" t="s">
        <v>227</v>
      </c>
      <c r="U42" s="13" t="s">
        <v>190</v>
      </c>
      <c r="V42" s="90" t="s">
        <v>132</v>
      </c>
      <c r="W42" s="13" t="s">
        <v>112</v>
      </c>
      <c r="X42" s="13" t="s">
        <v>132</v>
      </c>
      <c r="Y42" s="5" t="s">
        <v>132</v>
      </c>
      <c r="Z42" s="42">
        <v>44449</v>
      </c>
      <c r="AA42" s="13" t="s">
        <v>132</v>
      </c>
      <c r="AB42" s="13" t="s">
        <v>139</v>
      </c>
      <c r="AC42" s="34">
        <v>44453</v>
      </c>
      <c r="AD42" s="34">
        <v>44817</v>
      </c>
      <c r="AE42" s="13" t="s">
        <v>132</v>
      </c>
      <c r="AF42" s="13" t="s">
        <v>132</v>
      </c>
      <c r="AG42" s="90"/>
      <c r="AH42" s="90"/>
      <c r="AI42" s="90"/>
      <c r="AJ42" s="90"/>
      <c r="AK42" s="90"/>
      <c r="AL42" s="126">
        <f t="shared" si="0"/>
        <v>86352</v>
      </c>
      <c r="AM42" s="116">
        <f>7196+3598+3598+3598+3598+3598+3598+3598+3598+3598+3598+3598+3598+7196+7196+7196+3598+3598+3598+3598</f>
        <v>86352</v>
      </c>
      <c r="AN42" s="116">
        <f>3598+3598+3598+3598+3598+3598+3598+3598</f>
        <v>28784</v>
      </c>
      <c r="AO42" s="110">
        <f t="shared" si="1"/>
        <v>115136</v>
      </c>
    </row>
    <row r="43" spans="1:41" s="6" customFormat="1" ht="30" x14ac:dyDescent="0.25">
      <c r="A43" s="21" t="s">
        <v>335</v>
      </c>
      <c r="B43" s="22" t="s">
        <v>229</v>
      </c>
      <c r="C43" s="22" t="s">
        <v>230</v>
      </c>
      <c r="D43" s="39" t="s">
        <v>88</v>
      </c>
      <c r="E43" s="39" t="s">
        <v>87</v>
      </c>
      <c r="F43" s="22" t="s">
        <v>153</v>
      </c>
      <c r="G43" s="48">
        <v>12855</v>
      </c>
      <c r="H43" s="40" t="s">
        <v>231</v>
      </c>
      <c r="I43" s="42">
        <v>44048</v>
      </c>
      <c r="J43" s="42">
        <v>44413</v>
      </c>
      <c r="K43" s="38" t="s">
        <v>228</v>
      </c>
      <c r="L43" s="13" t="s">
        <v>148</v>
      </c>
      <c r="M43" s="22" t="s">
        <v>149</v>
      </c>
      <c r="N43" s="42">
        <v>44053</v>
      </c>
      <c r="O43" s="117">
        <v>1076549.76</v>
      </c>
      <c r="P43" s="40">
        <v>12863</v>
      </c>
      <c r="Q43" s="42">
        <v>44053</v>
      </c>
      <c r="R43" s="42">
        <v>44418</v>
      </c>
      <c r="S43" s="39" t="s">
        <v>232</v>
      </c>
      <c r="T43" s="13" t="s">
        <v>228</v>
      </c>
      <c r="U43" s="13" t="s">
        <v>190</v>
      </c>
      <c r="V43" s="90" t="s">
        <v>132</v>
      </c>
      <c r="W43" s="13" t="s">
        <v>111</v>
      </c>
      <c r="X43" s="13" t="s">
        <v>132</v>
      </c>
      <c r="Y43" s="5">
        <v>2</v>
      </c>
      <c r="Z43" s="42">
        <v>44546</v>
      </c>
      <c r="AA43" s="40">
        <v>13189</v>
      </c>
      <c r="AB43" s="13" t="s">
        <v>457</v>
      </c>
      <c r="AC43" s="34">
        <v>44546</v>
      </c>
      <c r="AD43" s="34">
        <v>44910</v>
      </c>
      <c r="AE43" s="13">
        <v>25</v>
      </c>
      <c r="AF43" s="13" t="s">
        <v>132</v>
      </c>
      <c r="AG43" s="90"/>
      <c r="AH43" s="90"/>
      <c r="AI43" s="90"/>
      <c r="AJ43" s="90"/>
      <c r="AK43" s="90"/>
      <c r="AL43" s="126">
        <f t="shared" si="0"/>
        <v>1076549.76</v>
      </c>
      <c r="AM43" s="116">
        <f>13272.08+13272.08+2716.63+3919.41+6636.04+34111.71+58094.8+68224.89+69007.44+5328.49+3919.41+2716.63+2716.63+2716.63+3919.41+6737.57+27261.35+3919.41+2716.63+2716.63+6737.57+29659.75+6737.57+6244.09+14785.93+2818.16+17908.68+14785.93+34100.45</f>
        <v>467701.99999999994</v>
      </c>
      <c r="AN43" s="116">
        <f>6084.33+14785.93+20726.84+6636.04+39432.18+6636.04+6737.57+6636.04+36715.55+6737.57+10866.52+6737.57+13373.61+14785.93+13373.61+6737.57+54265.54</f>
        <v>271268.43999999994</v>
      </c>
      <c r="AO43" s="110">
        <f t="shared" si="1"/>
        <v>738970.44</v>
      </c>
    </row>
    <row r="44" spans="1:41" s="6" customFormat="1" ht="75" x14ac:dyDescent="0.25">
      <c r="A44" s="21" t="s">
        <v>336</v>
      </c>
      <c r="B44" s="22" t="s">
        <v>311</v>
      </c>
      <c r="C44" s="22" t="s">
        <v>237</v>
      </c>
      <c r="D44" s="39" t="s">
        <v>88</v>
      </c>
      <c r="E44" s="39" t="s">
        <v>87</v>
      </c>
      <c r="F44" s="22" t="s">
        <v>241</v>
      </c>
      <c r="G44" s="48">
        <v>12855</v>
      </c>
      <c r="H44" s="40" t="s">
        <v>238</v>
      </c>
      <c r="I44" s="42">
        <v>44053</v>
      </c>
      <c r="J44" s="42">
        <v>44418</v>
      </c>
      <c r="K44" s="49" t="s">
        <v>233</v>
      </c>
      <c r="L44" s="47" t="s">
        <v>242</v>
      </c>
      <c r="M44" s="24" t="s">
        <v>234</v>
      </c>
      <c r="N44" s="34">
        <v>44053</v>
      </c>
      <c r="O44" s="91">
        <v>1125464.3999999999</v>
      </c>
      <c r="P44" s="50">
        <v>12863</v>
      </c>
      <c r="Q44" s="34">
        <v>44053</v>
      </c>
      <c r="R44" s="34">
        <v>44418</v>
      </c>
      <c r="S44" s="51">
        <v>126</v>
      </c>
      <c r="T44" s="47" t="s">
        <v>233</v>
      </c>
      <c r="U44" s="47" t="s">
        <v>190</v>
      </c>
      <c r="V44" s="91" t="s">
        <v>132</v>
      </c>
      <c r="W44" s="47" t="s">
        <v>111</v>
      </c>
      <c r="X44" s="47" t="s">
        <v>132</v>
      </c>
      <c r="Y44" s="12">
        <v>1</v>
      </c>
      <c r="Z44" s="34">
        <v>44414</v>
      </c>
      <c r="AA44" s="47" t="s">
        <v>132</v>
      </c>
      <c r="AB44" s="47" t="s">
        <v>116</v>
      </c>
      <c r="AC44" s="34">
        <v>44418</v>
      </c>
      <c r="AD44" s="34">
        <v>44782</v>
      </c>
      <c r="AE44" s="45">
        <v>0.05</v>
      </c>
      <c r="AF44" s="13" t="s">
        <v>132</v>
      </c>
      <c r="AG44" s="90"/>
      <c r="AH44" s="90"/>
      <c r="AI44" s="90"/>
      <c r="AJ44" s="90"/>
      <c r="AK44" s="90"/>
      <c r="AL44" s="126">
        <f t="shared" si="0"/>
        <v>1125464.3999999999</v>
      </c>
      <c r="AM44" s="116">
        <f>71904.67+21884.03+50020.64+3126.29+18757.74+59399.51+81283.54+81283.54+81283.54+81283.54+19902.6+52805.76+3300.36+56119.64+27226.36+3333.84+3333.84+56675.28+30004.56+3333.84+30004.56+46673.76+3333.84+30004.56+53341.44</f>
        <v>969621.28</v>
      </c>
      <c r="AN44" s="116">
        <f>30004.56+53341.44+53341.44+30004.56+53341.44+30004.56+30004.56+3333.84+3333.84+23336.88+50007.6</f>
        <v>360054.72000000003</v>
      </c>
      <c r="AO44" s="110">
        <f t="shared" si="1"/>
        <v>1329676</v>
      </c>
    </row>
    <row r="45" spans="1:41" s="6" customFormat="1" ht="60" x14ac:dyDescent="0.25">
      <c r="A45" s="21" t="s">
        <v>337</v>
      </c>
      <c r="B45" s="22" t="s">
        <v>239</v>
      </c>
      <c r="C45" s="22" t="s">
        <v>240</v>
      </c>
      <c r="D45" s="39" t="s">
        <v>88</v>
      </c>
      <c r="E45" s="39" t="s">
        <v>87</v>
      </c>
      <c r="F45" s="22" t="s">
        <v>236</v>
      </c>
      <c r="G45" s="48">
        <v>12855</v>
      </c>
      <c r="H45" s="40" t="s">
        <v>238</v>
      </c>
      <c r="I45" s="42">
        <v>44053</v>
      </c>
      <c r="J45" s="42">
        <v>44418</v>
      </c>
      <c r="K45" s="49" t="s">
        <v>244</v>
      </c>
      <c r="L45" s="47" t="s">
        <v>243</v>
      </c>
      <c r="M45" s="24" t="s">
        <v>235</v>
      </c>
      <c r="N45" s="34">
        <v>44053</v>
      </c>
      <c r="O45" s="91">
        <v>285426</v>
      </c>
      <c r="P45" s="50">
        <v>12863</v>
      </c>
      <c r="Q45" s="34">
        <v>44053</v>
      </c>
      <c r="R45" s="34">
        <v>44053</v>
      </c>
      <c r="S45" s="51" t="s">
        <v>245</v>
      </c>
      <c r="T45" s="47" t="s">
        <v>244</v>
      </c>
      <c r="U45" s="47" t="s">
        <v>190</v>
      </c>
      <c r="V45" s="91" t="s">
        <v>132</v>
      </c>
      <c r="W45" s="47" t="s">
        <v>246</v>
      </c>
      <c r="X45" s="47" t="s">
        <v>132</v>
      </c>
      <c r="Y45" s="12">
        <v>1</v>
      </c>
      <c r="Z45" s="34">
        <v>44414</v>
      </c>
      <c r="AA45" s="50">
        <v>13111</v>
      </c>
      <c r="AB45" s="47" t="s">
        <v>139</v>
      </c>
      <c r="AC45" s="34">
        <v>44418</v>
      </c>
      <c r="AD45" s="34">
        <v>44782</v>
      </c>
      <c r="AE45" s="53"/>
      <c r="AF45" s="47" t="s">
        <v>132</v>
      </c>
      <c r="AG45" s="91"/>
      <c r="AH45" s="91"/>
      <c r="AI45" s="91"/>
      <c r="AJ45" s="91"/>
      <c r="AK45" s="91"/>
      <c r="AL45" s="126">
        <f t="shared" si="0"/>
        <v>285426</v>
      </c>
      <c r="AM45" s="116">
        <f>9514.2+9514.2+23785.5+23785.5+21248.38+23785.5+4757.1+4757.1+4757.1+4757.1+4757.1+4757.1+4757.1+4757.1+9514.2</f>
        <v>159204.28000000006</v>
      </c>
      <c r="AN45" s="116">
        <f>9514.2+4757.1+4757.1+4757.1+4757.1+9514.2</f>
        <v>38056.800000000003</v>
      </c>
      <c r="AO45" s="110">
        <f t="shared" si="1"/>
        <v>197261.08000000007</v>
      </c>
    </row>
    <row r="46" spans="1:41" s="6" customFormat="1" ht="60" x14ac:dyDescent="0.25">
      <c r="A46" s="21" t="s">
        <v>338</v>
      </c>
      <c r="B46" s="22" t="s">
        <v>367</v>
      </c>
      <c r="C46" s="22" t="s">
        <v>368</v>
      </c>
      <c r="D46" s="39" t="s">
        <v>88</v>
      </c>
      <c r="E46" s="39" t="s">
        <v>87</v>
      </c>
      <c r="F46" s="22" t="s">
        <v>236</v>
      </c>
      <c r="G46" s="48">
        <v>12856</v>
      </c>
      <c r="H46" s="40" t="s">
        <v>310</v>
      </c>
      <c r="I46" s="13" t="s">
        <v>132</v>
      </c>
      <c r="J46" s="13" t="s">
        <v>132</v>
      </c>
      <c r="K46" s="49" t="s">
        <v>369</v>
      </c>
      <c r="L46" s="47" t="s">
        <v>243</v>
      </c>
      <c r="M46" s="24" t="s">
        <v>370</v>
      </c>
      <c r="N46" s="34">
        <v>44237</v>
      </c>
      <c r="O46" s="91">
        <v>285426</v>
      </c>
      <c r="P46" s="50">
        <v>12983</v>
      </c>
      <c r="Q46" s="34">
        <v>44237</v>
      </c>
      <c r="R46" s="34">
        <v>44532</v>
      </c>
      <c r="S46" s="51" t="s">
        <v>198</v>
      </c>
      <c r="T46" s="47"/>
      <c r="U46" s="47" t="s">
        <v>190</v>
      </c>
      <c r="V46" s="91"/>
      <c r="W46" s="47" t="s">
        <v>246</v>
      </c>
      <c r="X46" s="47"/>
      <c r="Y46" s="12">
        <v>1</v>
      </c>
      <c r="Z46" s="34">
        <v>44600</v>
      </c>
      <c r="AA46" s="50">
        <v>13233</v>
      </c>
      <c r="AB46" s="47" t="s">
        <v>139</v>
      </c>
      <c r="AC46" s="34">
        <v>44603</v>
      </c>
      <c r="AD46" s="34">
        <v>44967</v>
      </c>
      <c r="AE46" s="13"/>
      <c r="AF46" s="13"/>
      <c r="AG46" s="90"/>
      <c r="AH46" s="90"/>
      <c r="AI46" s="90"/>
      <c r="AJ46" s="90"/>
      <c r="AK46" s="90"/>
      <c r="AL46" s="126">
        <f t="shared" si="0"/>
        <v>285426</v>
      </c>
      <c r="AM46" s="116">
        <f>16808.42+22199.8+14271.3</f>
        <v>53279.520000000004</v>
      </c>
      <c r="AN46" s="116">
        <f>23785.5+19028.4+4757.1</f>
        <v>47571</v>
      </c>
      <c r="AO46" s="110">
        <f t="shared" si="1"/>
        <v>100850.52</v>
      </c>
    </row>
    <row r="47" spans="1:41" s="6" customFormat="1" x14ac:dyDescent="0.25">
      <c r="A47" s="21" t="s">
        <v>531</v>
      </c>
      <c r="B47" s="22" t="s">
        <v>252</v>
      </c>
      <c r="C47" s="22" t="s">
        <v>253</v>
      </c>
      <c r="D47" s="39" t="s">
        <v>88</v>
      </c>
      <c r="E47" s="39" t="s">
        <v>87</v>
      </c>
      <c r="F47" s="22" t="s">
        <v>254</v>
      </c>
      <c r="G47" s="48" t="s">
        <v>132</v>
      </c>
      <c r="H47" s="40" t="s">
        <v>248</v>
      </c>
      <c r="I47" s="42">
        <v>44088</v>
      </c>
      <c r="J47" s="42">
        <v>44196</v>
      </c>
      <c r="K47" s="38" t="s">
        <v>249</v>
      </c>
      <c r="L47" s="13" t="s">
        <v>250</v>
      </c>
      <c r="M47" s="22" t="s">
        <v>255</v>
      </c>
      <c r="N47" s="42">
        <v>44174</v>
      </c>
      <c r="O47" s="117">
        <v>64788</v>
      </c>
      <c r="P47" s="40">
        <v>12927</v>
      </c>
      <c r="Q47" s="42" t="s">
        <v>132</v>
      </c>
      <c r="R47" s="42" t="s">
        <v>132</v>
      </c>
      <c r="S47" s="39">
        <v>117</v>
      </c>
      <c r="T47" s="13" t="s">
        <v>249</v>
      </c>
      <c r="U47" s="13" t="s">
        <v>190</v>
      </c>
      <c r="V47" s="90" t="s">
        <v>132</v>
      </c>
      <c r="W47" s="13" t="s">
        <v>111</v>
      </c>
      <c r="X47" s="13" t="s">
        <v>132</v>
      </c>
      <c r="Y47" s="5">
        <v>1</v>
      </c>
      <c r="Z47" s="42">
        <v>44508</v>
      </c>
      <c r="AA47" s="40">
        <v>13164</v>
      </c>
      <c r="AB47" s="13" t="s">
        <v>114</v>
      </c>
      <c r="AC47" s="34">
        <v>44510</v>
      </c>
      <c r="AD47" s="34">
        <v>44874</v>
      </c>
      <c r="AE47" s="13" t="s">
        <v>132</v>
      </c>
      <c r="AF47" s="13" t="s">
        <v>132</v>
      </c>
      <c r="AG47" s="90"/>
      <c r="AH47" s="90"/>
      <c r="AI47" s="90"/>
      <c r="AJ47" s="90"/>
      <c r="AK47" s="90"/>
      <c r="AL47" s="126">
        <f t="shared" si="0"/>
        <v>64788</v>
      </c>
      <c r="AM47" s="116">
        <f>5399+5399+5399+5399+5399+5399+5399</f>
        <v>37793</v>
      </c>
      <c r="AN47" s="116"/>
      <c r="AO47" s="110">
        <f t="shared" si="1"/>
        <v>37793</v>
      </c>
    </row>
    <row r="48" spans="1:41" s="6" customFormat="1" ht="60" x14ac:dyDescent="0.25">
      <c r="A48" s="21" t="s">
        <v>339</v>
      </c>
      <c r="B48" s="22" t="s">
        <v>213</v>
      </c>
      <c r="C48" s="22" t="s">
        <v>253</v>
      </c>
      <c r="D48" s="39" t="s">
        <v>88</v>
      </c>
      <c r="E48" s="39" t="s">
        <v>87</v>
      </c>
      <c r="F48" s="22" t="s">
        <v>257</v>
      </c>
      <c r="G48" s="48" t="s">
        <v>132</v>
      </c>
      <c r="H48" s="40" t="s">
        <v>248</v>
      </c>
      <c r="I48" s="42">
        <v>44088</v>
      </c>
      <c r="J48" s="42">
        <v>44196</v>
      </c>
      <c r="K48" s="38" t="s">
        <v>251</v>
      </c>
      <c r="L48" s="13" t="s">
        <v>278</v>
      </c>
      <c r="M48" s="22" t="s">
        <v>256</v>
      </c>
      <c r="N48" s="42">
        <v>44138</v>
      </c>
      <c r="O48" s="117">
        <v>149608</v>
      </c>
      <c r="P48" s="40">
        <v>12927</v>
      </c>
      <c r="Q48" s="42">
        <v>44138</v>
      </c>
      <c r="R48" s="42">
        <v>44503</v>
      </c>
      <c r="S48" s="39" t="s">
        <v>232</v>
      </c>
      <c r="T48" s="13" t="s">
        <v>251</v>
      </c>
      <c r="U48" s="13" t="s">
        <v>190</v>
      </c>
      <c r="V48" s="90" t="s">
        <v>132</v>
      </c>
      <c r="W48" s="13" t="s">
        <v>111</v>
      </c>
      <c r="X48" s="13" t="s">
        <v>132</v>
      </c>
      <c r="Y48" s="5">
        <v>3</v>
      </c>
      <c r="Z48" s="42">
        <v>44531</v>
      </c>
      <c r="AA48" s="40">
        <v>13195</v>
      </c>
      <c r="AB48" s="13" t="s">
        <v>300</v>
      </c>
      <c r="AC48" s="42">
        <v>44504</v>
      </c>
      <c r="AD48" s="42">
        <v>44868</v>
      </c>
      <c r="AE48" s="46">
        <v>9.2297599999999994E-2</v>
      </c>
      <c r="AF48" s="13" t="s">
        <v>132</v>
      </c>
      <c r="AG48" s="90"/>
      <c r="AH48" s="90"/>
      <c r="AI48" s="90"/>
      <c r="AJ48" s="90"/>
      <c r="AK48" s="90"/>
      <c r="AL48" s="126">
        <f t="shared" si="0"/>
        <v>149608</v>
      </c>
      <c r="AM48" s="116">
        <f>8256+8256+8256+6192+8256+11420.8+12384+11627.2+12384+12384+12384+12384</f>
        <v>124184</v>
      </c>
      <c r="AN48" s="116">
        <f>13527+13527+13527+13527+1803.6</f>
        <v>55911.6</v>
      </c>
      <c r="AO48" s="110">
        <f t="shared" si="1"/>
        <v>180095.6</v>
      </c>
    </row>
    <row r="49" spans="1:41" s="6" customFormat="1" ht="60" x14ac:dyDescent="0.25">
      <c r="A49" s="21" t="s">
        <v>532</v>
      </c>
      <c r="B49" s="22" t="s">
        <v>273</v>
      </c>
      <c r="C49" s="22" t="s">
        <v>274</v>
      </c>
      <c r="D49" s="39" t="s">
        <v>88</v>
      </c>
      <c r="E49" s="39" t="s">
        <v>87</v>
      </c>
      <c r="F49" s="22" t="s">
        <v>272</v>
      </c>
      <c r="G49" s="48" t="s">
        <v>132</v>
      </c>
      <c r="H49" s="40" t="s">
        <v>275</v>
      </c>
      <c r="I49" s="42" t="s">
        <v>132</v>
      </c>
      <c r="J49" s="42" t="s">
        <v>132</v>
      </c>
      <c r="K49" s="38" t="s">
        <v>259</v>
      </c>
      <c r="L49" s="13" t="s">
        <v>260</v>
      </c>
      <c r="M49" s="22" t="s">
        <v>261</v>
      </c>
      <c r="N49" s="42">
        <v>43888</v>
      </c>
      <c r="O49" s="117">
        <v>24150</v>
      </c>
      <c r="P49" s="40">
        <v>12750</v>
      </c>
      <c r="Q49" s="42">
        <v>43888</v>
      </c>
      <c r="R49" s="42">
        <v>44196</v>
      </c>
      <c r="S49" s="39" t="s">
        <v>258</v>
      </c>
      <c r="T49" s="38" t="s">
        <v>259</v>
      </c>
      <c r="U49" s="13" t="s">
        <v>190</v>
      </c>
      <c r="V49" s="90" t="s">
        <v>132</v>
      </c>
      <c r="W49" s="13" t="s">
        <v>113</v>
      </c>
      <c r="X49" s="13" t="s">
        <v>132</v>
      </c>
      <c r="Y49" s="5">
        <v>2</v>
      </c>
      <c r="Z49" s="42">
        <v>44560</v>
      </c>
      <c r="AA49" s="40">
        <v>13199</v>
      </c>
      <c r="AB49" s="13" t="s">
        <v>139</v>
      </c>
      <c r="AC49" s="34">
        <v>44562</v>
      </c>
      <c r="AD49" s="34">
        <v>44926</v>
      </c>
      <c r="AE49" s="13" t="s">
        <v>132</v>
      </c>
      <c r="AF49" s="13" t="s">
        <v>132</v>
      </c>
      <c r="AG49" s="90"/>
      <c r="AH49" s="90"/>
      <c r="AI49" s="90"/>
      <c r="AJ49" s="90"/>
      <c r="AK49" s="90"/>
      <c r="AL49" s="126">
        <f t="shared" si="0"/>
        <v>24150</v>
      </c>
      <c r="AM49" s="116"/>
      <c r="AN49" s="116"/>
      <c r="AO49" s="110">
        <f t="shared" si="1"/>
        <v>0</v>
      </c>
    </row>
    <row r="50" spans="1:41" s="6" customFormat="1" ht="60" x14ac:dyDescent="0.25">
      <c r="A50" s="21" t="s">
        <v>533</v>
      </c>
      <c r="B50" s="22" t="s">
        <v>268</v>
      </c>
      <c r="C50" s="22" t="s">
        <v>269</v>
      </c>
      <c r="D50" s="39" t="s">
        <v>88</v>
      </c>
      <c r="E50" s="39" t="s">
        <v>87</v>
      </c>
      <c r="F50" s="22" t="s">
        <v>270</v>
      </c>
      <c r="G50" s="48" t="s">
        <v>132</v>
      </c>
      <c r="H50" s="40" t="s">
        <v>132</v>
      </c>
      <c r="I50" s="42" t="s">
        <v>132</v>
      </c>
      <c r="J50" s="42" t="s">
        <v>132</v>
      </c>
      <c r="K50" s="38" t="s">
        <v>262</v>
      </c>
      <c r="L50" s="13" t="s">
        <v>263</v>
      </c>
      <c r="M50" s="22" t="s">
        <v>265</v>
      </c>
      <c r="N50" s="42">
        <v>44117</v>
      </c>
      <c r="O50" s="117">
        <v>105760</v>
      </c>
      <c r="P50" s="40">
        <v>12909</v>
      </c>
      <c r="Q50" s="42">
        <v>44117</v>
      </c>
      <c r="R50" s="42">
        <v>44299</v>
      </c>
      <c r="S50" s="39" t="s">
        <v>258</v>
      </c>
      <c r="T50" s="38" t="s">
        <v>262</v>
      </c>
      <c r="U50" s="13" t="s">
        <v>190</v>
      </c>
      <c r="V50" s="90" t="s">
        <v>132</v>
      </c>
      <c r="W50" s="13" t="s">
        <v>113</v>
      </c>
      <c r="X50" s="13" t="s">
        <v>132</v>
      </c>
      <c r="Y50" s="5">
        <v>2</v>
      </c>
      <c r="Z50" s="42">
        <v>44659</v>
      </c>
      <c r="AA50" s="40">
        <v>13272</v>
      </c>
      <c r="AB50" s="13" t="s">
        <v>139</v>
      </c>
      <c r="AC50" s="34">
        <v>44661</v>
      </c>
      <c r="AD50" s="34">
        <v>44843</v>
      </c>
      <c r="AE50" s="13"/>
      <c r="AF50" s="13" t="s">
        <v>132</v>
      </c>
      <c r="AG50" s="90"/>
      <c r="AH50" s="90"/>
      <c r="AI50" s="90"/>
      <c r="AJ50" s="90"/>
      <c r="AK50" s="90"/>
      <c r="AL50" s="126">
        <f t="shared" si="0"/>
        <v>105760</v>
      </c>
      <c r="AM50" s="116"/>
      <c r="AN50" s="116">
        <f>70290</f>
        <v>70290</v>
      </c>
      <c r="AO50" s="110">
        <f t="shared" si="1"/>
        <v>70290</v>
      </c>
    </row>
    <row r="51" spans="1:41" s="6" customFormat="1" ht="60" x14ac:dyDescent="0.25">
      <c r="A51" s="21" t="s">
        <v>340</v>
      </c>
      <c r="B51" s="22" t="s">
        <v>299</v>
      </c>
      <c r="C51" s="22" t="s">
        <v>132</v>
      </c>
      <c r="D51" s="39" t="s">
        <v>88</v>
      </c>
      <c r="E51" s="39" t="s">
        <v>87</v>
      </c>
      <c r="F51" s="22" t="s">
        <v>271</v>
      </c>
      <c r="G51" s="48" t="s">
        <v>132</v>
      </c>
      <c r="H51" s="40" t="s">
        <v>132</v>
      </c>
      <c r="I51" s="42" t="s">
        <v>132</v>
      </c>
      <c r="J51" s="42" t="s">
        <v>132</v>
      </c>
      <c r="K51" s="44" t="s">
        <v>264</v>
      </c>
      <c r="L51" s="13" t="s">
        <v>267</v>
      </c>
      <c r="M51" s="22" t="s">
        <v>266</v>
      </c>
      <c r="N51" s="42">
        <v>44117</v>
      </c>
      <c r="O51" s="117">
        <v>99115</v>
      </c>
      <c r="P51" s="40">
        <v>12909</v>
      </c>
      <c r="Q51" s="42">
        <v>44117</v>
      </c>
      <c r="R51" s="42" t="s">
        <v>276</v>
      </c>
      <c r="S51" s="39" t="s">
        <v>258</v>
      </c>
      <c r="T51" s="44" t="s">
        <v>264</v>
      </c>
      <c r="U51" s="13" t="s">
        <v>190</v>
      </c>
      <c r="V51" s="90" t="s">
        <v>132</v>
      </c>
      <c r="W51" s="13" t="s">
        <v>113</v>
      </c>
      <c r="X51" s="13" t="s">
        <v>132</v>
      </c>
      <c r="Y51" s="5">
        <v>3</v>
      </c>
      <c r="Z51" s="42">
        <v>44659</v>
      </c>
      <c r="AA51" s="40">
        <v>13272</v>
      </c>
      <c r="AB51" s="13" t="s">
        <v>114</v>
      </c>
      <c r="AC51" s="34">
        <v>44660</v>
      </c>
      <c r="AD51" s="34">
        <v>44844</v>
      </c>
      <c r="AE51" s="13" t="s">
        <v>132</v>
      </c>
      <c r="AF51" s="13" t="s">
        <v>132</v>
      </c>
      <c r="AG51" s="90"/>
      <c r="AH51" s="90"/>
      <c r="AI51" s="90"/>
      <c r="AJ51" s="90"/>
      <c r="AK51" s="90"/>
      <c r="AL51" s="126">
        <f t="shared" si="0"/>
        <v>99115</v>
      </c>
      <c r="AM51" s="116"/>
      <c r="AN51" s="116">
        <v>72420</v>
      </c>
      <c r="AO51" s="110">
        <f t="shared" si="1"/>
        <v>72420</v>
      </c>
    </row>
    <row r="52" spans="1:41" s="6" customFormat="1" ht="60" x14ac:dyDescent="0.25">
      <c r="A52" s="21" t="s">
        <v>341</v>
      </c>
      <c r="B52" s="22" t="s">
        <v>284</v>
      </c>
      <c r="C52" s="22" t="s">
        <v>290</v>
      </c>
      <c r="D52" s="39" t="s">
        <v>88</v>
      </c>
      <c r="E52" s="39" t="s">
        <v>87</v>
      </c>
      <c r="F52" s="22" t="s">
        <v>291</v>
      </c>
      <c r="G52" s="48">
        <v>12952</v>
      </c>
      <c r="H52" s="40" t="s">
        <v>283</v>
      </c>
      <c r="I52" s="42">
        <v>44183</v>
      </c>
      <c r="J52" s="42">
        <v>44548</v>
      </c>
      <c r="K52" s="44" t="s">
        <v>282</v>
      </c>
      <c r="L52" s="13" t="s">
        <v>280</v>
      </c>
      <c r="M52" s="22" t="s">
        <v>281</v>
      </c>
      <c r="N52" s="42">
        <v>44238</v>
      </c>
      <c r="O52" s="117">
        <v>160000</v>
      </c>
      <c r="P52" s="40">
        <v>12984</v>
      </c>
      <c r="Q52" s="42">
        <v>44238</v>
      </c>
      <c r="R52" s="42">
        <v>44561</v>
      </c>
      <c r="S52" s="39" t="s">
        <v>258</v>
      </c>
      <c r="T52" s="13" t="s">
        <v>282</v>
      </c>
      <c r="U52" s="13" t="s">
        <v>190</v>
      </c>
      <c r="V52" s="90" t="s">
        <v>132</v>
      </c>
      <c r="W52" s="13" t="s">
        <v>112</v>
      </c>
      <c r="X52" s="13" t="s">
        <v>132</v>
      </c>
      <c r="Y52" s="5">
        <v>1</v>
      </c>
      <c r="Z52" s="42">
        <v>44547</v>
      </c>
      <c r="AA52" s="40">
        <v>13189</v>
      </c>
      <c r="AB52" s="13" t="s">
        <v>300</v>
      </c>
      <c r="AC52" s="47" t="s">
        <v>132</v>
      </c>
      <c r="AD52" s="47" t="s">
        <v>132</v>
      </c>
      <c r="AE52" s="45">
        <v>0.25</v>
      </c>
      <c r="AF52" s="13" t="s">
        <v>132</v>
      </c>
      <c r="AG52" s="90"/>
      <c r="AH52" s="90"/>
      <c r="AI52" s="90"/>
      <c r="AJ52" s="90"/>
      <c r="AK52" s="90"/>
      <c r="AL52" s="126">
        <f t="shared" si="0"/>
        <v>160000</v>
      </c>
      <c r="AM52" s="116">
        <f>1550+1750+7750+1232+1400+7000+16606+7750+1364+12696+7500+3774+4568+7750+7816+4948+13960+8536+9334+18382+1050+5180+13086+2000+4914+14820</f>
        <v>186716</v>
      </c>
      <c r="AN52" s="116"/>
      <c r="AO52" s="110">
        <f t="shared" si="1"/>
        <v>186716</v>
      </c>
    </row>
    <row r="53" spans="1:41" s="6" customFormat="1" ht="60" x14ac:dyDescent="0.25">
      <c r="A53" s="21" t="s">
        <v>342</v>
      </c>
      <c r="B53" s="22" t="s">
        <v>292</v>
      </c>
      <c r="C53" s="22" t="s">
        <v>293</v>
      </c>
      <c r="D53" s="39" t="s">
        <v>88</v>
      </c>
      <c r="E53" s="39" t="s">
        <v>87</v>
      </c>
      <c r="F53" s="22" t="s">
        <v>294</v>
      </c>
      <c r="G53" s="48">
        <v>12923</v>
      </c>
      <c r="H53" s="40" t="s">
        <v>409</v>
      </c>
      <c r="I53" s="13" t="s">
        <v>132</v>
      </c>
      <c r="J53" s="13" t="s">
        <v>132</v>
      </c>
      <c r="K53" s="44" t="s">
        <v>408</v>
      </c>
      <c r="L53" s="13" t="s">
        <v>285</v>
      </c>
      <c r="M53" s="22" t="s">
        <v>286</v>
      </c>
      <c r="N53" s="42">
        <v>44245</v>
      </c>
      <c r="O53" s="117">
        <v>471580</v>
      </c>
      <c r="P53" s="40"/>
      <c r="Q53" s="42">
        <v>44245</v>
      </c>
      <c r="R53" s="42">
        <v>44561</v>
      </c>
      <c r="S53" s="13" t="s">
        <v>198</v>
      </c>
      <c r="T53" s="13"/>
      <c r="U53" s="13" t="s">
        <v>190</v>
      </c>
      <c r="V53" s="90" t="s">
        <v>132</v>
      </c>
      <c r="W53" s="13" t="s">
        <v>112</v>
      </c>
      <c r="X53" s="13" t="s">
        <v>132</v>
      </c>
      <c r="Y53" s="5" t="s">
        <v>132</v>
      </c>
      <c r="Z53" s="13" t="s">
        <v>132</v>
      </c>
      <c r="AA53" s="13" t="s">
        <v>132</v>
      </c>
      <c r="AB53" s="13" t="s">
        <v>132</v>
      </c>
      <c r="AC53" s="47" t="s">
        <v>132</v>
      </c>
      <c r="AD53" s="47" t="s">
        <v>132</v>
      </c>
      <c r="AE53" s="13" t="s">
        <v>132</v>
      </c>
      <c r="AF53" s="13" t="s">
        <v>132</v>
      </c>
      <c r="AG53" s="90"/>
      <c r="AH53" s="90"/>
      <c r="AI53" s="90"/>
      <c r="AJ53" s="90"/>
      <c r="AK53" s="90"/>
      <c r="AL53" s="126">
        <f t="shared" si="0"/>
        <v>471580</v>
      </c>
      <c r="AM53" s="116">
        <v>12870</v>
      </c>
      <c r="AN53" s="116">
        <v>15444</v>
      </c>
      <c r="AO53" s="110">
        <f t="shared" si="1"/>
        <v>28314</v>
      </c>
    </row>
    <row r="54" spans="1:41" s="6" customFormat="1" ht="60" x14ac:dyDescent="0.25">
      <c r="A54" s="21" t="s">
        <v>343</v>
      </c>
      <c r="B54" s="22" t="s">
        <v>297</v>
      </c>
      <c r="C54" s="22" t="s">
        <v>298</v>
      </c>
      <c r="D54" s="39" t="s">
        <v>88</v>
      </c>
      <c r="E54" s="39" t="s">
        <v>87</v>
      </c>
      <c r="F54" s="22" t="s">
        <v>295</v>
      </c>
      <c r="G54" s="48">
        <v>12944</v>
      </c>
      <c r="H54" s="40" t="s">
        <v>296</v>
      </c>
      <c r="I54" s="42">
        <v>44175</v>
      </c>
      <c r="J54" s="42">
        <v>44540</v>
      </c>
      <c r="K54" s="44" t="s">
        <v>287</v>
      </c>
      <c r="L54" s="13" t="s">
        <v>288</v>
      </c>
      <c r="M54" s="22" t="s">
        <v>123</v>
      </c>
      <c r="N54" s="42">
        <v>44231</v>
      </c>
      <c r="O54" s="117">
        <v>45800</v>
      </c>
      <c r="P54" s="40">
        <v>12977</v>
      </c>
      <c r="Q54" s="42">
        <v>44231</v>
      </c>
      <c r="R54" s="42">
        <v>44561</v>
      </c>
      <c r="S54" s="13">
        <v>101.117</v>
      </c>
      <c r="T54" s="13" t="s">
        <v>287</v>
      </c>
      <c r="U54" s="13" t="s">
        <v>190</v>
      </c>
      <c r="V54" s="90" t="s">
        <v>132</v>
      </c>
      <c r="W54" s="13" t="s">
        <v>112</v>
      </c>
      <c r="X54" s="13" t="s">
        <v>132</v>
      </c>
      <c r="Y54" s="5" t="s">
        <v>132</v>
      </c>
      <c r="Z54" s="13" t="s">
        <v>132</v>
      </c>
      <c r="AA54" s="13" t="s">
        <v>132</v>
      </c>
      <c r="AB54" s="13" t="s">
        <v>132</v>
      </c>
      <c r="AC54" s="47" t="s">
        <v>132</v>
      </c>
      <c r="AD54" s="47" t="s">
        <v>132</v>
      </c>
      <c r="AE54" s="13" t="s">
        <v>132</v>
      </c>
      <c r="AF54" s="13" t="s">
        <v>132</v>
      </c>
      <c r="AG54" s="90"/>
      <c r="AH54" s="90"/>
      <c r="AI54" s="90"/>
      <c r="AJ54" s="90"/>
      <c r="AK54" s="90"/>
      <c r="AL54" s="126">
        <f t="shared" si="0"/>
        <v>45800</v>
      </c>
      <c r="AM54" s="116">
        <f>3850+4950+3850+1870+1980+1430+1210</f>
        <v>19140</v>
      </c>
      <c r="AN54" s="116">
        <f>990+2200+1430+1980</f>
        <v>6600</v>
      </c>
      <c r="AO54" s="110">
        <f t="shared" si="1"/>
        <v>25740</v>
      </c>
    </row>
    <row r="55" spans="1:41" s="6" customFormat="1" ht="60" x14ac:dyDescent="0.25">
      <c r="A55" s="21" t="s">
        <v>534</v>
      </c>
      <c r="B55" s="24" t="s">
        <v>302</v>
      </c>
      <c r="C55" s="24" t="s">
        <v>306</v>
      </c>
      <c r="D55" s="51" t="s">
        <v>88</v>
      </c>
      <c r="E55" s="51" t="s">
        <v>87</v>
      </c>
      <c r="F55" s="24" t="s">
        <v>417</v>
      </c>
      <c r="G55" s="54">
        <v>12902</v>
      </c>
      <c r="H55" s="50" t="s">
        <v>303</v>
      </c>
      <c r="I55" s="13" t="s">
        <v>132</v>
      </c>
      <c r="J55" s="13" t="s">
        <v>132</v>
      </c>
      <c r="K55" s="55" t="s">
        <v>304</v>
      </c>
      <c r="L55" s="47" t="s">
        <v>301</v>
      </c>
      <c r="M55" s="22" t="s">
        <v>316</v>
      </c>
      <c r="N55" s="42" t="s">
        <v>317</v>
      </c>
      <c r="O55" s="117">
        <v>157840.78</v>
      </c>
      <c r="P55" s="13" t="s">
        <v>132</v>
      </c>
      <c r="Q55" s="42">
        <v>44238</v>
      </c>
      <c r="R55" s="42">
        <v>44561</v>
      </c>
      <c r="S55" s="13" t="s">
        <v>198</v>
      </c>
      <c r="T55" s="13" t="s">
        <v>304</v>
      </c>
      <c r="U55" s="13" t="s">
        <v>190</v>
      </c>
      <c r="V55" s="90" t="s">
        <v>132</v>
      </c>
      <c r="W55" s="13" t="s">
        <v>112</v>
      </c>
      <c r="X55" s="13" t="s">
        <v>132</v>
      </c>
      <c r="Y55" s="5" t="s">
        <v>132</v>
      </c>
      <c r="Z55" s="13" t="s">
        <v>132</v>
      </c>
      <c r="AA55" s="13" t="s">
        <v>132</v>
      </c>
      <c r="AB55" s="13" t="s">
        <v>132</v>
      </c>
      <c r="AC55" s="13" t="s">
        <v>132</v>
      </c>
      <c r="AD55" s="13" t="s">
        <v>132</v>
      </c>
      <c r="AE55" s="13" t="s">
        <v>132</v>
      </c>
      <c r="AF55" s="13" t="s">
        <v>132</v>
      </c>
      <c r="AG55" s="90"/>
      <c r="AH55" s="90"/>
      <c r="AI55" s="90"/>
      <c r="AJ55" s="90"/>
      <c r="AK55" s="90"/>
      <c r="AL55" s="126">
        <f t="shared" si="0"/>
        <v>157840.78</v>
      </c>
      <c r="AM55" s="116">
        <f>9696.43+1492.57+4617.58+8271.04+12059.1+12269.31+4292.14+8029.6+8029.6+19823.45+21055.9</f>
        <v>109636.72</v>
      </c>
      <c r="AN55" s="116">
        <v>14136.2</v>
      </c>
      <c r="AO55" s="110">
        <f t="shared" si="1"/>
        <v>123772.92</v>
      </c>
    </row>
    <row r="56" spans="1:41" s="6" customFormat="1" ht="60" x14ac:dyDescent="0.25">
      <c r="A56" s="21" t="s">
        <v>344</v>
      </c>
      <c r="B56" s="24" t="s">
        <v>363</v>
      </c>
      <c r="C56" s="22" t="s">
        <v>364</v>
      </c>
      <c r="D56" s="51" t="s">
        <v>88</v>
      </c>
      <c r="E56" s="51" t="s">
        <v>87</v>
      </c>
      <c r="F56" s="24" t="s">
        <v>416</v>
      </c>
      <c r="G56" s="54">
        <v>12904</v>
      </c>
      <c r="H56" s="50" t="s">
        <v>365</v>
      </c>
      <c r="I56" s="13" t="s">
        <v>132</v>
      </c>
      <c r="J56" s="13" t="s">
        <v>132</v>
      </c>
      <c r="K56" s="55" t="s">
        <v>362</v>
      </c>
      <c r="L56" s="47" t="s">
        <v>361</v>
      </c>
      <c r="M56" s="22" t="s">
        <v>366</v>
      </c>
      <c r="N56" s="42">
        <v>44166</v>
      </c>
      <c r="O56" s="117">
        <v>817437.48</v>
      </c>
      <c r="P56" s="40">
        <v>12933</v>
      </c>
      <c r="Q56" s="42">
        <v>44166</v>
      </c>
      <c r="R56" s="42">
        <v>44531</v>
      </c>
      <c r="S56" s="13" t="s">
        <v>198</v>
      </c>
      <c r="T56" s="13" t="s">
        <v>362</v>
      </c>
      <c r="U56" s="13" t="s">
        <v>190</v>
      </c>
      <c r="V56" s="90"/>
      <c r="W56" s="13" t="s">
        <v>111</v>
      </c>
      <c r="X56" s="13" t="s">
        <v>132</v>
      </c>
      <c r="Y56" s="5">
        <v>1</v>
      </c>
      <c r="Z56" s="42">
        <v>44517</v>
      </c>
      <c r="AA56" s="40">
        <v>13167</v>
      </c>
      <c r="AB56" s="13" t="s">
        <v>114</v>
      </c>
      <c r="AC56" s="42">
        <v>44531</v>
      </c>
      <c r="AD56" s="42">
        <v>44895</v>
      </c>
      <c r="AE56" s="13" t="s">
        <v>132</v>
      </c>
      <c r="AF56" s="13" t="s">
        <v>132</v>
      </c>
      <c r="AG56" s="90"/>
      <c r="AH56" s="90"/>
      <c r="AI56" s="90"/>
      <c r="AJ56" s="90"/>
      <c r="AK56" s="90"/>
      <c r="AL56" s="126">
        <f t="shared" si="0"/>
        <v>817437.48</v>
      </c>
      <c r="AM56" s="116">
        <f>4754.88+29320.83+41464.22+40082.08+5923.46+5923.46+5923.46+5923.46+1579.58+25865.75+5923.46+26655.57+6713.25+15697.18+2961.73+5923.46+20732.11+26655.57+29123.67+26655.57</f>
        <v>333802.75</v>
      </c>
      <c r="AN56" s="116">
        <f>38502.49+20732.11+20732.11+38008.85+20732.11+35343.3+32776.47+2961.73+16337.27+15955.12+8885.19</f>
        <v>250966.74999999997</v>
      </c>
      <c r="AO56" s="110">
        <f t="shared" si="1"/>
        <v>584769.5</v>
      </c>
    </row>
    <row r="57" spans="1:41" s="6" customFormat="1" ht="60" x14ac:dyDescent="0.25">
      <c r="A57" s="21" t="s">
        <v>535</v>
      </c>
      <c r="B57" s="24" t="s">
        <v>373</v>
      </c>
      <c r="C57" s="24" t="s">
        <v>374</v>
      </c>
      <c r="D57" s="51" t="s">
        <v>88</v>
      </c>
      <c r="E57" s="51" t="s">
        <v>87</v>
      </c>
      <c r="F57" s="24" t="s">
        <v>415</v>
      </c>
      <c r="G57" s="54">
        <v>12905</v>
      </c>
      <c r="H57" s="50" t="s">
        <v>372</v>
      </c>
      <c r="I57" s="47" t="s">
        <v>132</v>
      </c>
      <c r="J57" s="47" t="s">
        <v>132</v>
      </c>
      <c r="K57" s="55" t="s">
        <v>371</v>
      </c>
      <c r="L57" s="47" t="s">
        <v>458</v>
      </c>
      <c r="M57" s="24" t="s">
        <v>375</v>
      </c>
      <c r="N57" s="34">
        <v>44239</v>
      </c>
      <c r="O57" s="91">
        <v>517333.92</v>
      </c>
      <c r="P57" s="50">
        <v>12994</v>
      </c>
      <c r="Q57" s="34">
        <v>44239</v>
      </c>
      <c r="R57" s="34">
        <v>44604</v>
      </c>
      <c r="S57" s="47" t="s">
        <v>198</v>
      </c>
      <c r="T57" s="47" t="s">
        <v>371</v>
      </c>
      <c r="U57" s="47" t="s">
        <v>190</v>
      </c>
      <c r="V57" s="91" t="s">
        <v>132</v>
      </c>
      <c r="W57" s="47" t="s">
        <v>111</v>
      </c>
      <c r="X57" s="47" t="s">
        <v>132</v>
      </c>
      <c r="Y57" s="12">
        <v>2</v>
      </c>
      <c r="Z57" s="34">
        <v>44598</v>
      </c>
      <c r="AA57" s="40">
        <v>13233</v>
      </c>
      <c r="AB57" s="13" t="s">
        <v>114</v>
      </c>
      <c r="AC57" s="42">
        <v>44605</v>
      </c>
      <c r="AD57" s="42">
        <v>44969</v>
      </c>
      <c r="AE57" s="13" t="s">
        <v>132</v>
      </c>
      <c r="AF57" s="13" t="s">
        <v>132</v>
      </c>
      <c r="AG57" s="90"/>
      <c r="AH57" s="90"/>
      <c r="AI57" s="90"/>
      <c r="AJ57" s="90"/>
      <c r="AK57" s="90"/>
      <c r="AL57" s="126">
        <f t="shared" si="0"/>
        <v>517333.92</v>
      </c>
      <c r="AM57" s="116">
        <f>5166.2+11817.6+7060.94+2406.54+375.77+2052.4+7638.65+2052.4+809.39+2486.02+8722.7+809.39+8722.7+2052.4+2486.02+2486.02+2052.4+8722.7+2681.2+1459.82+809.39+1459.82+2681.2+2052.4+8939.51+2486.02+809.39</f>
        <v>101298.98999999999</v>
      </c>
      <c r="AN57" s="116">
        <f>1459.82+12191.66+8939.51+2486.02+2052.4+2486.02+2486.02+2681.2+809.39+1459.82+809.39+2681.2+1459.82+2681.2+2486.02+2486.02+809.39+3331.63+1676.63+2999.12+1539.3+11620.71+809.39+3263.32+1824.33+13116.23+1674.9+3625.13+880.69</f>
        <v>96826.279999999984</v>
      </c>
      <c r="AO57" s="110">
        <f t="shared" si="1"/>
        <v>198125.26999999996</v>
      </c>
    </row>
    <row r="58" spans="1:41" s="6" customFormat="1" ht="45" x14ac:dyDescent="0.25">
      <c r="A58" s="21" t="s">
        <v>345</v>
      </c>
      <c r="B58" s="24" t="s">
        <v>379</v>
      </c>
      <c r="C58" s="22" t="s">
        <v>381</v>
      </c>
      <c r="D58" s="51" t="s">
        <v>88</v>
      </c>
      <c r="E58" s="51" t="s">
        <v>87</v>
      </c>
      <c r="F58" s="24" t="s">
        <v>414</v>
      </c>
      <c r="G58" s="54">
        <v>12906</v>
      </c>
      <c r="H58" s="50" t="s">
        <v>380</v>
      </c>
      <c r="I58" s="13" t="s">
        <v>132</v>
      </c>
      <c r="J58" s="13" t="s">
        <v>132</v>
      </c>
      <c r="K58" s="55" t="s">
        <v>376</v>
      </c>
      <c r="L58" s="47" t="s">
        <v>377</v>
      </c>
      <c r="M58" s="22" t="s">
        <v>378</v>
      </c>
      <c r="N58" s="42">
        <v>44279</v>
      </c>
      <c r="O58" s="117">
        <v>56250</v>
      </c>
      <c r="P58" s="40">
        <v>13025</v>
      </c>
      <c r="Q58" s="42">
        <v>44279</v>
      </c>
      <c r="R58" s="42">
        <v>44644</v>
      </c>
      <c r="S58" s="13" t="s">
        <v>198</v>
      </c>
      <c r="T58" s="13" t="s">
        <v>376</v>
      </c>
      <c r="U58" s="13" t="s">
        <v>190</v>
      </c>
      <c r="V58" s="90" t="s">
        <v>132</v>
      </c>
      <c r="W58" s="13" t="s">
        <v>111</v>
      </c>
      <c r="X58" s="13" t="s">
        <v>132</v>
      </c>
      <c r="Y58" s="5">
        <v>1</v>
      </c>
      <c r="Z58" s="42">
        <v>44546</v>
      </c>
      <c r="AA58" s="40">
        <v>13188</v>
      </c>
      <c r="AB58" s="13" t="s">
        <v>300</v>
      </c>
      <c r="AC58" s="13" t="s">
        <v>132</v>
      </c>
      <c r="AD58" s="13" t="s">
        <v>132</v>
      </c>
      <c r="AE58" s="45">
        <v>0.25</v>
      </c>
      <c r="AF58" s="13" t="s">
        <v>132</v>
      </c>
      <c r="AG58" s="90"/>
      <c r="AH58" s="90"/>
      <c r="AI58" s="90"/>
      <c r="AJ58" s="90"/>
      <c r="AK58" s="90"/>
      <c r="AL58" s="126">
        <f t="shared" si="0"/>
        <v>56250</v>
      </c>
      <c r="AM58" s="116">
        <f>1725+2925+675+1237.5+3975+6525+3187.5+1575+3075+525+4912.5+487.5+3300+975+2325+6862.5+487.5+1650+6075+7012.5+7050</f>
        <v>66562.5</v>
      </c>
      <c r="AN58" s="116"/>
      <c r="AO58" s="110">
        <f t="shared" si="1"/>
        <v>66562.5</v>
      </c>
    </row>
    <row r="59" spans="1:41" s="6" customFormat="1" ht="60" x14ac:dyDescent="0.25">
      <c r="A59" s="21" t="s">
        <v>346</v>
      </c>
      <c r="B59" s="24" t="s">
        <v>386</v>
      </c>
      <c r="C59" s="22" t="s">
        <v>293</v>
      </c>
      <c r="D59" s="51" t="s">
        <v>88</v>
      </c>
      <c r="E59" s="51" t="s">
        <v>87</v>
      </c>
      <c r="F59" s="24" t="s">
        <v>413</v>
      </c>
      <c r="G59" s="54">
        <v>12908</v>
      </c>
      <c r="H59" s="50" t="s">
        <v>385</v>
      </c>
      <c r="I59" s="13" t="s">
        <v>132</v>
      </c>
      <c r="J59" s="13" t="s">
        <v>132</v>
      </c>
      <c r="K59" s="55" t="s">
        <v>382</v>
      </c>
      <c r="L59" s="47" t="s">
        <v>383</v>
      </c>
      <c r="M59" s="22" t="s">
        <v>384</v>
      </c>
      <c r="N59" s="42">
        <v>44245</v>
      </c>
      <c r="O59" s="117">
        <v>2325</v>
      </c>
      <c r="P59" s="40" t="s">
        <v>132</v>
      </c>
      <c r="Q59" s="42" t="s">
        <v>132</v>
      </c>
      <c r="R59" s="42"/>
      <c r="S59" s="13" t="s">
        <v>198</v>
      </c>
      <c r="T59" s="13" t="s">
        <v>382</v>
      </c>
      <c r="U59" s="13" t="s">
        <v>190</v>
      </c>
      <c r="V59" s="90" t="s">
        <v>132</v>
      </c>
      <c r="W59" s="13" t="s">
        <v>112</v>
      </c>
      <c r="X59" s="13" t="s">
        <v>132</v>
      </c>
      <c r="Y59" s="5" t="s">
        <v>132</v>
      </c>
      <c r="Z59" s="13" t="s">
        <v>132</v>
      </c>
      <c r="AA59" s="13" t="s">
        <v>132</v>
      </c>
      <c r="AB59" s="13" t="s">
        <v>132</v>
      </c>
      <c r="AC59" s="13" t="s">
        <v>132</v>
      </c>
      <c r="AD59" s="13" t="s">
        <v>132</v>
      </c>
      <c r="AE59" s="13" t="s">
        <v>132</v>
      </c>
      <c r="AF59" s="13" t="s">
        <v>132</v>
      </c>
      <c r="AG59" s="90"/>
      <c r="AH59" s="90"/>
      <c r="AI59" s="90"/>
      <c r="AJ59" s="90"/>
      <c r="AK59" s="90"/>
      <c r="AL59" s="126">
        <f t="shared" si="0"/>
        <v>2325</v>
      </c>
      <c r="AM59" s="116">
        <v>344</v>
      </c>
      <c r="AN59" s="116">
        <v>1462.5</v>
      </c>
      <c r="AO59" s="110">
        <f t="shared" si="1"/>
        <v>1806.5</v>
      </c>
    </row>
    <row r="60" spans="1:41" s="6" customFormat="1" ht="60" x14ac:dyDescent="0.25">
      <c r="A60" s="21" t="s">
        <v>536</v>
      </c>
      <c r="B60" s="24" t="s">
        <v>390</v>
      </c>
      <c r="C60" s="22" t="s">
        <v>391</v>
      </c>
      <c r="D60" s="51" t="s">
        <v>88</v>
      </c>
      <c r="E60" s="51" t="s">
        <v>87</v>
      </c>
      <c r="F60" s="24" t="s">
        <v>412</v>
      </c>
      <c r="G60" s="54">
        <v>12909</v>
      </c>
      <c r="H60" s="50" t="s">
        <v>392</v>
      </c>
      <c r="I60" s="13" t="s">
        <v>132</v>
      </c>
      <c r="J60" s="13" t="s">
        <v>132</v>
      </c>
      <c r="K60" s="55" t="s">
        <v>389</v>
      </c>
      <c r="L60" s="24" t="s">
        <v>387</v>
      </c>
      <c r="M60" s="22" t="s">
        <v>388</v>
      </c>
      <c r="N60" s="42">
        <v>44319</v>
      </c>
      <c r="O60" s="117">
        <v>2521757.4</v>
      </c>
      <c r="P60" s="40" t="s">
        <v>132</v>
      </c>
      <c r="Q60" s="42">
        <v>44319</v>
      </c>
      <c r="R60" s="42">
        <v>44684</v>
      </c>
      <c r="S60" s="13" t="s">
        <v>198</v>
      </c>
      <c r="T60" s="13" t="s">
        <v>389</v>
      </c>
      <c r="U60" s="13" t="s">
        <v>190</v>
      </c>
      <c r="V60" s="90" t="s">
        <v>132</v>
      </c>
      <c r="W60" s="13" t="s">
        <v>111</v>
      </c>
      <c r="X60" s="13" t="s">
        <v>132</v>
      </c>
      <c r="Y60" s="5">
        <v>1</v>
      </c>
      <c r="Z60" s="42">
        <v>44683</v>
      </c>
      <c r="AA60" s="40">
        <v>13286</v>
      </c>
      <c r="AB60" s="13" t="s">
        <v>145</v>
      </c>
      <c r="AC60" s="42">
        <v>44685</v>
      </c>
      <c r="AD60" s="42">
        <v>45049</v>
      </c>
      <c r="AE60" s="13" t="s">
        <v>132</v>
      </c>
      <c r="AF60" s="45">
        <v>0.05</v>
      </c>
      <c r="AG60" s="90"/>
      <c r="AH60" s="90"/>
      <c r="AI60" s="90"/>
      <c r="AJ60" s="90"/>
      <c r="AK60" s="90"/>
      <c r="AL60" s="126">
        <f t="shared" si="0"/>
        <v>2521757.4</v>
      </c>
      <c r="AM60" s="116">
        <f>10098.79+30296.37+65174.94+30296.37+4683.14+23932.31+6386.1+32107.29+25635.27+15752.38+25635.27+30296.37+6386.1+12772.2+34630.11+19249.17+31808.5+6386.1+33060.65</f>
        <v>444587.43</v>
      </c>
      <c r="AN60" s="116">
        <f>25635.27+6386.1+10007.92+33060.65+32021.37+33060.65+10007.92+15968.28+33060.65+33060.65+20015.84+20338+7661.18+31492.62+4254.54</f>
        <v>316031.63999999996</v>
      </c>
      <c r="AO60" s="110">
        <f t="shared" si="1"/>
        <v>760619.07</v>
      </c>
    </row>
    <row r="61" spans="1:41" s="6" customFormat="1" ht="60" x14ac:dyDescent="0.25">
      <c r="A61" s="21" t="s">
        <v>347</v>
      </c>
      <c r="B61" s="24" t="s">
        <v>399</v>
      </c>
      <c r="C61" s="22" t="s">
        <v>398</v>
      </c>
      <c r="D61" s="51" t="s">
        <v>88</v>
      </c>
      <c r="E61" s="51" t="s">
        <v>87</v>
      </c>
      <c r="F61" s="24" t="s">
        <v>411</v>
      </c>
      <c r="G61" s="54">
        <v>12911</v>
      </c>
      <c r="H61" s="50" t="s">
        <v>397</v>
      </c>
      <c r="I61" s="13" t="s">
        <v>132</v>
      </c>
      <c r="J61" s="13" t="s">
        <v>132</v>
      </c>
      <c r="K61" s="55" t="s">
        <v>394</v>
      </c>
      <c r="L61" s="24" t="s">
        <v>395</v>
      </c>
      <c r="M61" s="22" t="s">
        <v>396</v>
      </c>
      <c r="N61" s="42">
        <v>44379</v>
      </c>
      <c r="O61" s="117">
        <v>794250</v>
      </c>
      <c r="P61" s="40" t="s">
        <v>132</v>
      </c>
      <c r="Q61" s="42">
        <v>44379</v>
      </c>
      <c r="R61" s="42">
        <v>44744</v>
      </c>
      <c r="S61" s="13" t="s">
        <v>400</v>
      </c>
      <c r="T61" s="55" t="s">
        <v>394</v>
      </c>
      <c r="U61" s="13" t="s">
        <v>190</v>
      </c>
      <c r="V61" s="90" t="s">
        <v>132</v>
      </c>
      <c r="W61" s="13" t="s">
        <v>113</v>
      </c>
      <c r="X61" s="13" t="s">
        <v>132</v>
      </c>
      <c r="Y61" s="5" t="s">
        <v>132</v>
      </c>
      <c r="Z61" s="13" t="s">
        <v>132</v>
      </c>
      <c r="AA61" s="13" t="s">
        <v>132</v>
      </c>
      <c r="AB61" s="13" t="s">
        <v>132</v>
      </c>
      <c r="AC61" s="13" t="s">
        <v>132</v>
      </c>
      <c r="AD61" s="13" t="s">
        <v>132</v>
      </c>
      <c r="AE61" s="13" t="s">
        <v>132</v>
      </c>
      <c r="AF61" s="13" t="s">
        <v>132</v>
      </c>
      <c r="AG61" s="90"/>
      <c r="AH61" s="90"/>
      <c r="AI61" s="90"/>
      <c r="AJ61" s="90"/>
      <c r="AK61" s="90"/>
      <c r="AL61" s="126">
        <f t="shared" si="0"/>
        <v>794250</v>
      </c>
      <c r="AM61" s="116">
        <f>48491.61+9234.48+6597.57+32934.9+24780.6+9636.9+8832.06+36948.51+48925.8+82411.38+21201.18+18352.47+41036.25+76565.7</f>
        <v>465949.41</v>
      </c>
      <c r="AN61" s="116">
        <f>19506.78+53426.55+4447.8+5210.28</f>
        <v>82591.41</v>
      </c>
      <c r="AO61" s="110">
        <f t="shared" si="1"/>
        <v>548540.81999999995</v>
      </c>
    </row>
    <row r="62" spans="1:41" s="6" customFormat="1" ht="60" x14ac:dyDescent="0.25">
      <c r="A62" s="21" t="s">
        <v>348</v>
      </c>
      <c r="B62" s="24" t="s">
        <v>406</v>
      </c>
      <c r="C62" s="22" t="s">
        <v>247</v>
      </c>
      <c r="D62" s="51" t="s">
        <v>88</v>
      </c>
      <c r="E62" s="51" t="s">
        <v>87</v>
      </c>
      <c r="F62" s="24" t="s">
        <v>418</v>
      </c>
      <c r="G62" s="13" t="s">
        <v>132</v>
      </c>
      <c r="H62" s="50" t="s">
        <v>407</v>
      </c>
      <c r="I62" s="13" t="s">
        <v>132</v>
      </c>
      <c r="J62" s="13" t="s">
        <v>132</v>
      </c>
      <c r="K62" s="55" t="s">
        <v>403</v>
      </c>
      <c r="L62" s="24" t="s">
        <v>404</v>
      </c>
      <c r="M62" s="22" t="s">
        <v>405</v>
      </c>
      <c r="N62" s="42">
        <v>44237</v>
      </c>
      <c r="O62" s="117">
        <v>9151.5</v>
      </c>
      <c r="P62" s="40" t="s">
        <v>132</v>
      </c>
      <c r="Q62" s="42">
        <v>44237</v>
      </c>
      <c r="R62" s="42">
        <v>44561</v>
      </c>
      <c r="S62" s="13" t="s">
        <v>198</v>
      </c>
      <c r="T62" s="55" t="s">
        <v>403</v>
      </c>
      <c r="U62" s="13" t="s">
        <v>190</v>
      </c>
      <c r="V62" s="90" t="s">
        <v>132</v>
      </c>
      <c r="W62" s="13" t="s">
        <v>112</v>
      </c>
      <c r="X62" s="13" t="s">
        <v>132</v>
      </c>
      <c r="Y62" s="5" t="s">
        <v>132</v>
      </c>
      <c r="Z62" s="13" t="s">
        <v>132</v>
      </c>
      <c r="AA62" s="13" t="s">
        <v>132</v>
      </c>
      <c r="AB62" s="13" t="s">
        <v>132</v>
      </c>
      <c r="AC62" s="13" t="s">
        <v>132</v>
      </c>
      <c r="AD62" s="13" t="s">
        <v>132</v>
      </c>
      <c r="AE62" s="13" t="s">
        <v>132</v>
      </c>
      <c r="AF62" s="13" t="s">
        <v>132</v>
      </c>
      <c r="AG62" s="90"/>
      <c r="AH62" s="90"/>
      <c r="AI62" s="90"/>
      <c r="AJ62" s="90"/>
      <c r="AK62" s="90"/>
      <c r="AL62" s="126">
        <f t="shared" si="0"/>
        <v>9151.5</v>
      </c>
      <c r="AM62" s="116">
        <f>984.1+1094.68+81.6</f>
        <v>2160.38</v>
      </c>
      <c r="AN62" s="116">
        <f>2275.7</f>
        <v>2275.6999999999998</v>
      </c>
      <c r="AO62" s="110">
        <f t="shared" si="1"/>
        <v>4436.08</v>
      </c>
    </row>
    <row r="63" spans="1:41" s="6" customFormat="1" ht="60" x14ac:dyDescent="0.25">
      <c r="A63" s="21" t="s">
        <v>349</v>
      </c>
      <c r="B63" s="24" t="s">
        <v>393</v>
      </c>
      <c r="C63" s="22" t="s">
        <v>420</v>
      </c>
      <c r="D63" s="51" t="s">
        <v>88</v>
      </c>
      <c r="E63" s="51" t="s">
        <v>87</v>
      </c>
      <c r="F63" s="24" t="s">
        <v>419</v>
      </c>
      <c r="G63" s="13" t="s">
        <v>132</v>
      </c>
      <c r="H63" s="50" t="s">
        <v>421</v>
      </c>
      <c r="I63" s="13" t="s">
        <v>132</v>
      </c>
      <c r="J63" s="13" t="s">
        <v>132</v>
      </c>
      <c r="K63" s="55" t="s">
        <v>422</v>
      </c>
      <c r="L63" s="24" t="s">
        <v>423</v>
      </c>
      <c r="M63" s="22" t="s">
        <v>441</v>
      </c>
      <c r="N63" s="42">
        <v>44237</v>
      </c>
      <c r="O63" s="117">
        <v>8404</v>
      </c>
      <c r="P63" s="40" t="s">
        <v>132</v>
      </c>
      <c r="Q63" s="42">
        <v>44237</v>
      </c>
      <c r="R63" s="42">
        <v>44561</v>
      </c>
      <c r="S63" s="40" t="s">
        <v>198</v>
      </c>
      <c r="T63" s="40" t="s">
        <v>132</v>
      </c>
      <c r="U63" s="13" t="s">
        <v>190</v>
      </c>
      <c r="V63" s="90" t="s">
        <v>132</v>
      </c>
      <c r="W63" s="13" t="s">
        <v>111</v>
      </c>
      <c r="X63" s="13" t="s">
        <v>132</v>
      </c>
      <c r="Y63" s="5" t="s">
        <v>132</v>
      </c>
      <c r="Z63" s="13" t="s">
        <v>132</v>
      </c>
      <c r="AA63" s="13" t="s">
        <v>132</v>
      </c>
      <c r="AB63" s="13" t="s">
        <v>132</v>
      </c>
      <c r="AC63" s="13" t="s">
        <v>132</v>
      </c>
      <c r="AD63" s="13" t="s">
        <v>132</v>
      </c>
      <c r="AE63" s="13" t="s">
        <v>132</v>
      </c>
      <c r="AF63" s="13" t="s">
        <v>132</v>
      </c>
      <c r="AG63" s="90"/>
      <c r="AH63" s="90"/>
      <c r="AI63" s="90"/>
      <c r="AJ63" s="90"/>
      <c r="AK63" s="90"/>
      <c r="AL63" s="126">
        <f t="shared" si="0"/>
        <v>8404</v>
      </c>
      <c r="AM63" s="116">
        <v>2224</v>
      </c>
      <c r="AN63" s="116">
        <f>1984</f>
        <v>1984</v>
      </c>
      <c r="AO63" s="110">
        <f t="shared" si="1"/>
        <v>4208</v>
      </c>
    </row>
    <row r="64" spans="1:41" s="6" customFormat="1" ht="60" x14ac:dyDescent="0.25">
      <c r="A64" s="21" t="s">
        <v>350</v>
      </c>
      <c r="B64" s="24" t="s">
        <v>297</v>
      </c>
      <c r="C64" s="22" t="s">
        <v>424</v>
      </c>
      <c r="D64" s="51" t="s">
        <v>88</v>
      </c>
      <c r="E64" s="51"/>
      <c r="F64" s="24" t="s">
        <v>427</v>
      </c>
      <c r="G64" s="13" t="s">
        <v>132</v>
      </c>
      <c r="H64" s="50" t="s">
        <v>425</v>
      </c>
      <c r="I64" s="13" t="s">
        <v>132</v>
      </c>
      <c r="J64" s="13" t="s">
        <v>132</v>
      </c>
      <c r="K64" s="55" t="s">
        <v>426</v>
      </c>
      <c r="L64" s="24" t="s">
        <v>312</v>
      </c>
      <c r="M64" s="22" t="s">
        <v>313</v>
      </c>
      <c r="N64" s="42">
        <v>44412</v>
      </c>
      <c r="O64" s="117">
        <v>29950</v>
      </c>
      <c r="P64" s="40" t="s">
        <v>132</v>
      </c>
      <c r="Q64" s="42">
        <v>44412</v>
      </c>
      <c r="R64" s="42">
        <v>44561</v>
      </c>
      <c r="S64" s="13" t="s">
        <v>198</v>
      </c>
      <c r="T64" s="40" t="s">
        <v>132</v>
      </c>
      <c r="U64" s="13" t="s">
        <v>190</v>
      </c>
      <c r="V64" s="90" t="s">
        <v>132</v>
      </c>
      <c r="W64" s="13" t="s">
        <v>112</v>
      </c>
      <c r="X64" s="13" t="s">
        <v>132</v>
      </c>
      <c r="Y64" s="5" t="s">
        <v>132</v>
      </c>
      <c r="Z64" s="13" t="s">
        <v>132</v>
      </c>
      <c r="AA64" s="13" t="s">
        <v>132</v>
      </c>
      <c r="AB64" s="13" t="s">
        <v>132</v>
      </c>
      <c r="AC64" s="13" t="s">
        <v>132</v>
      </c>
      <c r="AD64" s="13" t="s">
        <v>132</v>
      </c>
      <c r="AE64" s="13" t="s">
        <v>132</v>
      </c>
      <c r="AF64" s="13" t="s">
        <v>132</v>
      </c>
      <c r="AG64" s="90"/>
      <c r="AH64" s="90"/>
      <c r="AI64" s="90"/>
      <c r="AJ64" s="90"/>
      <c r="AK64" s="90"/>
      <c r="AL64" s="126">
        <f t="shared" si="0"/>
        <v>29950</v>
      </c>
      <c r="AM64" s="116">
        <f>3468.21+3971.37+4258.89</f>
        <v>11698.470000000001</v>
      </c>
      <c r="AN64" s="116">
        <f>3941.42+4929.77+305.49</f>
        <v>9176.68</v>
      </c>
      <c r="AO64" s="110">
        <f t="shared" si="1"/>
        <v>20875.150000000001</v>
      </c>
    </row>
    <row r="65" spans="1:41" s="6" customFormat="1" ht="60" x14ac:dyDescent="0.25">
      <c r="A65" s="21" t="s">
        <v>351</v>
      </c>
      <c r="B65" s="24" t="s">
        <v>428</v>
      </c>
      <c r="C65" s="22" t="s">
        <v>429</v>
      </c>
      <c r="D65" s="51" t="s">
        <v>88</v>
      </c>
      <c r="E65" s="51"/>
      <c r="F65" s="24" t="s">
        <v>430</v>
      </c>
      <c r="G65" s="13" t="s">
        <v>132</v>
      </c>
      <c r="H65" s="50" t="s">
        <v>431</v>
      </c>
      <c r="I65" s="13" t="s">
        <v>132</v>
      </c>
      <c r="J65" s="13" t="s">
        <v>132</v>
      </c>
      <c r="K65" s="55" t="s">
        <v>432</v>
      </c>
      <c r="L65" s="24" t="s">
        <v>439</v>
      </c>
      <c r="M65" s="22" t="s">
        <v>440</v>
      </c>
      <c r="N65" s="42">
        <v>44144</v>
      </c>
      <c r="O65" s="117">
        <v>349653.68</v>
      </c>
      <c r="P65" s="40">
        <v>12927</v>
      </c>
      <c r="Q65" s="42">
        <v>44144</v>
      </c>
      <c r="R65" s="42">
        <v>44508</v>
      </c>
      <c r="S65" s="39" t="s">
        <v>232</v>
      </c>
      <c r="T65" s="40" t="s">
        <v>132</v>
      </c>
      <c r="U65" s="13" t="s">
        <v>190</v>
      </c>
      <c r="V65" s="90" t="s">
        <v>132</v>
      </c>
      <c r="W65" s="13" t="s">
        <v>166</v>
      </c>
      <c r="X65" s="13" t="s">
        <v>132</v>
      </c>
      <c r="Y65" s="5">
        <v>1</v>
      </c>
      <c r="Z65" s="42">
        <v>44505</v>
      </c>
      <c r="AA65" s="40">
        <v>13163</v>
      </c>
      <c r="AB65" s="13" t="s">
        <v>114</v>
      </c>
      <c r="AC65" s="42">
        <v>44509</v>
      </c>
      <c r="AD65" s="42">
        <v>44873</v>
      </c>
      <c r="AE65" s="13" t="s">
        <v>132</v>
      </c>
      <c r="AF65" s="13" t="s">
        <v>132</v>
      </c>
      <c r="AG65" s="90"/>
      <c r="AH65" s="90"/>
      <c r="AI65" s="90"/>
      <c r="AJ65" s="90"/>
      <c r="AK65" s="90"/>
      <c r="AL65" s="126">
        <f t="shared" si="0"/>
        <v>349653.68</v>
      </c>
      <c r="AM65" s="116">
        <f>28919.72+5301.09+2987.15+27188.78</f>
        <v>64396.74</v>
      </c>
      <c r="AN65" s="116"/>
      <c r="AO65" s="110">
        <f t="shared" si="1"/>
        <v>64396.74</v>
      </c>
    </row>
    <row r="66" spans="1:41" s="6" customFormat="1" ht="60" x14ac:dyDescent="0.25">
      <c r="A66" s="21" t="s">
        <v>537</v>
      </c>
      <c r="B66" s="24" t="s">
        <v>433</v>
      </c>
      <c r="C66" s="22" t="s">
        <v>434</v>
      </c>
      <c r="D66" s="51" t="s">
        <v>88</v>
      </c>
      <c r="E66" s="51"/>
      <c r="F66" s="24" t="s">
        <v>410</v>
      </c>
      <c r="G66" s="13" t="s">
        <v>132</v>
      </c>
      <c r="H66" s="50" t="s">
        <v>435</v>
      </c>
      <c r="I66" s="13" t="s">
        <v>132</v>
      </c>
      <c r="J66" s="13" t="s">
        <v>132</v>
      </c>
      <c r="K66" s="55" t="s">
        <v>436</v>
      </c>
      <c r="L66" s="24" t="s">
        <v>401</v>
      </c>
      <c r="M66" s="22" t="s">
        <v>402</v>
      </c>
      <c r="N66" s="42">
        <v>44405</v>
      </c>
      <c r="O66" s="117">
        <v>85000</v>
      </c>
      <c r="P66" s="40">
        <v>13076</v>
      </c>
      <c r="Q66" s="42">
        <v>44405</v>
      </c>
      <c r="R66" s="42">
        <v>44561</v>
      </c>
      <c r="S66" s="39" t="s">
        <v>232</v>
      </c>
      <c r="T66" s="40" t="s">
        <v>132</v>
      </c>
      <c r="U66" s="13" t="s">
        <v>190</v>
      </c>
      <c r="V66" s="90" t="s">
        <v>132</v>
      </c>
      <c r="W66" s="13" t="s">
        <v>112</v>
      </c>
      <c r="X66" s="13" t="s">
        <v>132</v>
      </c>
      <c r="Y66" s="5" t="s">
        <v>132</v>
      </c>
      <c r="Z66" s="13" t="s">
        <v>132</v>
      </c>
      <c r="AA66" s="13" t="s">
        <v>132</v>
      </c>
      <c r="AB66" s="13" t="s">
        <v>132</v>
      </c>
      <c r="AC66" s="13" t="s">
        <v>132</v>
      </c>
      <c r="AD66" s="13" t="s">
        <v>132</v>
      </c>
      <c r="AE66" s="13" t="s">
        <v>132</v>
      </c>
      <c r="AF66" s="13" t="s">
        <v>132</v>
      </c>
      <c r="AG66" s="90"/>
      <c r="AH66" s="90"/>
      <c r="AI66" s="90"/>
      <c r="AJ66" s="90"/>
      <c r="AK66" s="90"/>
      <c r="AL66" s="126">
        <f t="shared" si="0"/>
        <v>85000</v>
      </c>
      <c r="AM66" s="116">
        <f>9327.32+15346+12000</f>
        <v>36673.32</v>
      </c>
      <c r="AN66" s="116">
        <v>12000</v>
      </c>
      <c r="AO66" s="110">
        <f t="shared" si="1"/>
        <v>48673.32</v>
      </c>
    </row>
    <row r="67" spans="1:41" s="6" customFormat="1" ht="60" x14ac:dyDescent="0.25">
      <c r="A67" s="21" t="s">
        <v>538</v>
      </c>
      <c r="B67" s="24" t="s">
        <v>437</v>
      </c>
      <c r="C67" s="22" t="s">
        <v>230</v>
      </c>
      <c r="D67" s="51" t="s">
        <v>88</v>
      </c>
      <c r="E67" s="51"/>
      <c r="F67" s="24" t="s">
        <v>445</v>
      </c>
      <c r="G67" s="13" t="s">
        <v>132</v>
      </c>
      <c r="H67" s="50" t="s">
        <v>438</v>
      </c>
      <c r="I67" s="13" t="s">
        <v>132</v>
      </c>
      <c r="J67" s="13" t="s">
        <v>132</v>
      </c>
      <c r="K67" s="55" t="s">
        <v>369</v>
      </c>
      <c r="L67" s="24" t="s">
        <v>243</v>
      </c>
      <c r="M67" s="22" t="s">
        <v>321</v>
      </c>
      <c r="N67" s="42">
        <v>44237</v>
      </c>
      <c r="O67" s="117">
        <v>285426</v>
      </c>
      <c r="P67" s="40">
        <v>12983</v>
      </c>
      <c r="Q67" s="42">
        <v>44237</v>
      </c>
      <c r="R67" s="42">
        <v>44601</v>
      </c>
      <c r="S67" s="13" t="s">
        <v>198</v>
      </c>
      <c r="T67" s="40" t="s">
        <v>132</v>
      </c>
      <c r="U67" s="13" t="s">
        <v>190</v>
      </c>
      <c r="V67" s="90" t="s">
        <v>132</v>
      </c>
      <c r="W67" s="13" t="s">
        <v>112</v>
      </c>
      <c r="X67" s="13" t="s">
        <v>132</v>
      </c>
      <c r="Y67" s="5">
        <v>1</v>
      </c>
      <c r="Z67" s="42">
        <v>44600</v>
      </c>
      <c r="AA67" s="40">
        <v>13233</v>
      </c>
      <c r="AB67" s="13" t="s">
        <v>139</v>
      </c>
      <c r="AC67" s="34">
        <v>44603</v>
      </c>
      <c r="AD67" s="34">
        <v>44967</v>
      </c>
      <c r="AE67" s="13" t="s">
        <v>132</v>
      </c>
      <c r="AF67" s="13" t="s">
        <v>132</v>
      </c>
      <c r="AG67" s="90"/>
      <c r="AH67" s="90"/>
      <c r="AI67" s="90"/>
      <c r="AJ67" s="90"/>
      <c r="AK67" s="90"/>
      <c r="AL67" s="126">
        <f t="shared" si="0"/>
        <v>285426</v>
      </c>
      <c r="AM67" s="116">
        <f>14271.3+14271.3+19028.4+23785.5</f>
        <v>71356.5</v>
      </c>
      <c r="AN67" s="116">
        <f>23785.5+23785.5+23785.5</f>
        <v>71356.5</v>
      </c>
      <c r="AO67" s="110">
        <f t="shared" si="1"/>
        <v>142713</v>
      </c>
    </row>
    <row r="68" spans="1:41" s="6" customFormat="1" ht="60" x14ac:dyDescent="0.25">
      <c r="A68" s="21" t="s">
        <v>539</v>
      </c>
      <c r="B68" s="24" t="s">
        <v>443</v>
      </c>
      <c r="C68" s="22" t="s">
        <v>442</v>
      </c>
      <c r="D68" s="51" t="s">
        <v>88</v>
      </c>
      <c r="E68" s="51"/>
      <c r="F68" s="24" t="s">
        <v>444</v>
      </c>
      <c r="G68" s="13" t="s">
        <v>132</v>
      </c>
      <c r="H68" s="50" t="s">
        <v>446</v>
      </c>
      <c r="I68" s="13" t="s">
        <v>132</v>
      </c>
      <c r="J68" s="13" t="s">
        <v>132</v>
      </c>
      <c r="K68" s="55" t="s">
        <v>447</v>
      </c>
      <c r="L68" s="24" t="s">
        <v>448</v>
      </c>
      <c r="M68" s="22" t="s">
        <v>456</v>
      </c>
      <c r="N68" s="42">
        <v>44460</v>
      </c>
      <c r="O68" s="117">
        <v>184500</v>
      </c>
      <c r="P68" s="40">
        <v>13135</v>
      </c>
      <c r="Q68" s="42">
        <v>44460</v>
      </c>
      <c r="R68" s="42">
        <v>44561</v>
      </c>
      <c r="S68" s="13">
        <v>101</v>
      </c>
      <c r="T68" s="40" t="s">
        <v>132</v>
      </c>
      <c r="U68" s="13" t="s">
        <v>190</v>
      </c>
      <c r="V68" s="90" t="s">
        <v>132</v>
      </c>
      <c r="W68" s="13" t="s">
        <v>113</v>
      </c>
      <c r="X68" s="13" t="s">
        <v>132</v>
      </c>
      <c r="Y68" s="5" t="s">
        <v>132</v>
      </c>
      <c r="Z68" s="13" t="s">
        <v>132</v>
      </c>
      <c r="AA68" s="13" t="s">
        <v>132</v>
      </c>
      <c r="AB68" s="13" t="s">
        <v>132</v>
      </c>
      <c r="AC68" s="13" t="s">
        <v>132</v>
      </c>
      <c r="AD68" s="13" t="s">
        <v>132</v>
      </c>
      <c r="AE68" s="13" t="s">
        <v>132</v>
      </c>
      <c r="AF68" s="13" t="s">
        <v>132</v>
      </c>
      <c r="AG68" s="90"/>
      <c r="AH68" s="90"/>
      <c r="AI68" s="90"/>
      <c r="AJ68" s="90"/>
      <c r="AK68" s="90"/>
      <c r="AL68" s="126">
        <f t="shared" si="0"/>
        <v>184500</v>
      </c>
      <c r="AM68" s="116">
        <f>46125+46125+46125</f>
        <v>138375</v>
      </c>
      <c r="AN68" s="116">
        <f>46125</f>
        <v>46125</v>
      </c>
      <c r="AO68" s="110">
        <f t="shared" si="1"/>
        <v>184500</v>
      </c>
    </row>
    <row r="69" spans="1:41" s="6" customFormat="1" ht="60" x14ac:dyDescent="0.25">
      <c r="A69" s="21" t="s">
        <v>352</v>
      </c>
      <c r="B69" s="24" t="s">
        <v>454</v>
      </c>
      <c r="C69" s="22" t="s">
        <v>452</v>
      </c>
      <c r="D69" s="51" t="s">
        <v>88</v>
      </c>
      <c r="E69" s="51"/>
      <c r="F69" s="24" t="s">
        <v>451</v>
      </c>
      <c r="G69" s="13" t="s">
        <v>132</v>
      </c>
      <c r="H69" s="50" t="s">
        <v>450</v>
      </c>
      <c r="I69" s="13" t="s">
        <v>132</v>
      </c>
      <c r="J69" s="13" t="s">
        <v>132</v>
      </c>
      <c r="K69" s="55" t="s">
        <v>449</v>
      </c>
      <c r="L69" s="24" t="s">
        <v>453</v>
      </c>
      <c r="M69" s="22" t="s">
        <v>455</v>
      </c>
      <c r="N69" s="42">
        <v>44468</v>
      </c>
      <c r="O69" s="117">
        <v>2053695.6</v>
      </c>
      <c r="P69" s="40">
        <v>13140</v>
      </c>
      <c r="Q69" s="42">
        <v>44468</v>
      </c>
      <c r="R69" s="42">
        <v>44832</v>
      </c>
      <c r="S69" s="13" t="s">
        <v>198</v>
      </c>
      <c r="T69" s="40" t="s">
        <v>132</v>
      </c>
      <c r="U69" s="13" t="s">
        <v>190</v>
      </c>
      <c r="V69" s="90" t="s">
        <v>132</v>
      </c>
      <c r="W69" s="13" t="s">
        <v>111</v>
      </c>
      <c r="X69" s="13" t="s">
        <v>132</v>
      </c>
      <c r="Y69" s="5" t="s">
        <v>132</v>
      </c>
      <c r="Z69" s="13" t="s">
        <v>132</v>
      </c>
      <c r="AA69" s="13" t="s">
        <v>132</v>
      </c>
      <c r="AB69" s="13" t="s">
        <v>132</v>
      </c>
      <c r="AC69" s="13" t="s">
        <v>132</v>
      </c>
      <c r="AD69" s="13" t="s">
        <v>132</v>
      </c>
      <c r="AE69" s="13" t="s">
        <v>132</v>
      </c>
      <c r="AF69" s="13" t="s">
        <v>132</v>
      </c>
      <c r="AG69" s="90"/>
      <c r="AH69" s="90"/>
      <c r="AI69" s="90"/>
      <c r="AJ69" s="90"/>
      <c r="AK69" s="90"/>
      <c r="AL69" s="126">
        <f t="shared" si="0"/>
        <v>2053695.6</v>
      </c>
      <c r="AM69" s="116">
        <f>25100.74+9127.54+3232.67+22818.84+31375.91+11029.11+31756.23+5704.71+22818.84+41773.2+11409.42+26051.51</f>
        <v>242198.72</v>
      </c>
      <c r="AN69" s="116">
        <f>22818.84+17114.13+28523.55+33308.15+22818.84+62751.81+34228.26+62751.81+22818.84+28523.55+68456.52+11409.42+34228.26+11409.42+24910.57+94317.87+5704.71+22818.84</f>
        <v>608913.39</v>
      </c>
      <c r="AO69" s="110">
        <f t="shared" si="1"/>
        <v>851112.11</v>
      </c>
    </row>
    <row r="70" spans="1:41" s="6" customFormat="1" ht="60" x14ac:dyDescent="0.25">
      <c r="A70" s="21" t="s">
        <v>540</v>
      </c>
      <c r="B70" s="24" t="s">
        <v>462</v>
      </c>
      <c r="C70" s="22" t="s">
        <v>463</v>
      </c>
      <c r="D70" s="51" t="s">
        <v>88</v>
      </c>
      <c r="E70" s="51"/>
      <c r="F70" s="24" t="s">
        <v>459</v>
      </c>
      <c r="G70" s="13" t="s">
        <v>132</v>
      </c>
      <c r="H70" s="50" t="s">
        <v>464</v>
      </c>
      <c r="I70" s="13" t="s">
        <v>132</v>
      </c>
      <c r="J70" s="13" t="s">
        <v>132</v>
      </c>
      <c r="K70" s="55" t="s">
        <v>465</v>
      </c>
      <c r="L70" s="24" t="s">
        <v>460</v>
      </c>
      <c r="M70" s="22" t="s">
        <v>461</v>
      </c>
      <c r="N70" s="42">
        <v>44508</v>
      </c>
      <c r="O70" s="117">
        <v>107562.5</v>
      </c>
      <c r="P70" s="40">
        <v>13162</v>
      </c>
      <c r="Q70" s="42">
        <v>44508</v>
      </c>
      <c r="R70" s="42">
        <v>44873</v>
      </c>
      <c r="S70" s="13" t="s">
        <v>400</v>
      </c>
      <c r="T70" s="40" t="s">
        <v>132</v>
      </c>
      <c r="U70" s="13" t="s">
        <v>190</v>
      </c>
      <c r="V70" s="90" t="s">
        <v>132</v>
      </c>
      <c r="W70" s="22" t="s">
        <v>466</v>
      </c>
      <c r="X70" s="13" t="s">
        <v>132</v>
      </c>
      <c r="Y70" s="5" t="s">
        <v>132</v>
      </c>
      <c r="Z70" s="13" t="s">
        <v>132</v>
      </c>
      <c r="AA70" s="13" t="s">
        <v>132</v>
      </c>
      <c r="AB70" s="13" t="s">
        <v>132</v>
      </c>
      <c r="AC70" s="13" t="s">
        <v>132</v>
      </c>
      <c r="AD70" s="13" t="s">
        <v>132</v>
      </c>
      <c r="AE70" s="13" t="s">
        <v>132</v>
      </c>
      <c r="AF70" s="13" t="s">
        <v>132</v>
      </c>
      <c r="AG70" s="90"/>
      <c r="AH70" s="90"/>
      <c r="AI70" s="90"/>
      <c r="AJ70" s="90"/>
      <c r="AK70" s="90"/>
      <c r="AL70" s="126">
        <f t="shared" si="0"/>
        <v>107562.5</v>
      </c>
      <c r="AM70" s="116">
        <f>2837.5+6185</f>
        <v>9022.5</v>
      </c>
      <c r="AN70" s="116">
        <f>3780+4835+3885+2727+500+147+2061+5208+2185+4450</f>
        <v>29778</v>
      </c>
      <c r="AO70" s="110">
        <f t="shared" si="1"/>
        <v>38800.5</v>
      </c>
    </row>
    <row r="71" spans="1:41" s="6" customFormat="1" ht="60" x14ac:dyDescent="0.25">
      <c r="A71" s="21" t="s">
        <v>353</v>
      </c>
      <c r="B71" s="24" t="s">
        <v>470</v>
      </c>
      <c r="C71" s="22" t="s">
        <v>471</v>
      </c>
      <c r="D71" s="51" t="s">
        <v>88</v>
      </c>
      <c r="E71" s="51"/>
      <c r="F71" s="24" t="s">
        <v>469</v>
      </c>
      <c r="G71" s="13" t="s">
        <v>132</v>
      </c>
      <c r="H71" s="50" t="s">
        <v>472</v>
      </c>
      <c r="I71" s="13" t="s">
        <v>132</v>
      </c>
      <c r="J71" s="13" t="s">
        <v>132</v>
      </c>
      <c r="K71" s="55" t="s">
        <v>473</v>
      </c>
      <c r="L71" s="24" t="s">
        <v>474</v>
      </c>
      <c r="M71" s="22" t="s">
        <v>475</v>
      </c>
      <c r="N71" s="42">
        <v>44529</v>
      </c>
      <c r="O71" s="117">
        <v>219.4</v>
      </c>
      <c r="P71" s="40">
        <v>13176</v>
      </c>
      <c r="Q71" s="42">
        <v>44529</v>
      </c>
      <c r="R71" s="42">
        <v>44561</v>
      </c>
      <c r="S71" s="13" t="s">
        <v>400</v>
      </c>
      <c r="T71" s="40" t="s">
        <v>132</v>
      </c>
      <c r="U71" s="13" t="s">
        <v>190</v>
      </c>
      <c r="V71" s="90" t="s">
        <v>132</v>
      </c>
      <c r="W71" s="22" t="s">
        <v>112</v>
      </c>
      <c r="X71" s="13" t="s">
        <v>132</v>
      </c>
      <c r="Y71" s="5" t="s">
        <v>132</v>
      </c>
      <c r="Z71" s="13" t="s">
        <v>132</v>
      </c>
      <c r="AA71" s="13" t="s">
        <v>132</v>
      </c>
      <c r="AB71" s="13" t="s">
        <v>132</v>
      </c>
      <c r="AC71" s="13" t="s">
        <v>132</v>
      </c>
      <c r="AD71" s="13" t="s">
        <v>132</v>
      </c>
      <c r="AE71" s="13" t="s">
        <v>132</v>
      </c>
      <c r="AF71" s="13" t="s">
        <v>132</v>
      </c>
      <c r="AG71" s="90"/>
      <c r="AH71" s="90"/>
      <c r="AI71" s="90"/>
      <c r="AJ71" s="90"/>
      <c r="AK71" s="90"/>
      <c r="AL71" s="126">
        <f t="shared" si="0"/>
        <v>219.4</v>
      </c>
      <c r="AM71" s="116"/>
      <c r="AN71" s="116">
        <v>822.06</v>
      </c>
      <c r="AO71" s="110">
        <f t="shared" si="1"/>
        <v>822.06</v>
      </c>
    </row>
    <row r="72" spans="1:41" s="6" customFormat="1" ht="45" x14ac:dyDescent="0.25">
      <c r="A72" s="21" t="s">
        <v>354</v>
      </c>
      <c r="B72" s="24" t="s">
        <v>477</v>
      </c>
      <c r="C72" s="22" t="s">
        <v>478</v>
      </c>
      <c r="D72" s="51" t="s">
        <v>88</v>
      </c>
      <c r="E72" s="51"/>
      <c r="F72" s="24" t="s">
        <v>476</v>
      </c>
      <c r="G72" s="13" t="s">
        <v>132</v>
      </c>
      <c r="H72" s="50" t="s">
        <v>479</v>
      </c>
      <c r="I72" s="13" t="s">
        <v>132</v>
      </c>
      <c r="J72" s="13" t="s">
        <v>132</v>
      </c>
      <c r="K72" s="55" t="s">
        <v>480</v>
      </c>
      <c r="L72" s="24" t="s">
        <v>481</v>
      </c>
      <c r="M72" s="22" t="s">
        <v>482</v>
      </c>
      <c r="N72" s="42">
        <v>44533</v>
      </c>
      <c r="O72" s="117">
        <v>52955</v>
      </c>
      <c r="P72" s="40">
        <v>13179</v>
      </c>
      <c r="Q72" s="42">
        <v>44533</v>
      </c>
      <c r="R72" s="42">
        <v>44926</v>
      </c>
      <c r="S72" s="13" t="s">
        <v>400</v>
      </c>
      <c r="T72" s="40" t="s">
        <v>132</v>
      </c>
      <c r="U72" s="13" t="s">
        <v>190</v>
      </c>
      <c r="V72" s="90" t="s">
        <v>132</v>
      </c>
      <c r="W72" s="22" t="s">
        <v>112</v>
      </c>
      <c r="X72" s="13" t="s">
        <v>132</v>
      </c>
      <c r="Y72" s="5" t="s">
        <v>132</v>
      </c>
      <c r="Z72" s="13" t="s">
        <v>132</v>
      </c>
      <c r="AA72" s="13" t="s">
        <v>132</v>
      </c>
      <c r="AB72" s="13" t="s">
        <v>132</v>
      </c>
      <c r="AC72" s="13" t="s">
        <v>132</v>
      </c>
      <c r="AD72" s="13" t="s">
        <v>132</v>
      </c>
      <c r="AE72" s="13" t="s">
        <v>132</v>
      </c>
      <c r="AF72" s="13" t="s">
        <v>132</v>
      </c>
      <c r="AG72" s="90"/>
      <c r="AH72" s="90"/>
      <c r="AI72" s="90"/>
      <c r="AJ72" s="90"/>
      <c r="AK72" s="90"/>
      <c r="AL72" s="126">
        <f t="shared" si="0"/>
        <v>52955</v>
      </c>
      <c r="AM72" s="116"/>
      <c r="AN72" s="116">
        <f>15130+7565</f>
        <v>22695</v>
      </c>
      <c r="AO72" s="110">
        <f t="shared" si="1"/>
        <v>22695</v>
      </c>
    </row>
    <row r="73" spans="1:41" s="6" customFormat="1" ht="45" x14ac:dyDescent="0.25">
      <c r="A73" s="21" t="s">
        <v>355</v>
      </c>
      <c r="B73" s="24" t="s">
        <v>470</v>
      </c>
      <c r="C73" s="22" t="s">
        <v>484</v>
      </c>
      <c r="D73" s="51" t="s">
        <v>88</v>
      </c>
      <c r="E73" s="51"/>
      <c r="F73" s="24" t="s">
        <v>476</v>
      </c>
      <c r="G73" s="13" t="s">
        <v>132</v>
      </c>
      <c r="H73" s="50" t="s">
        <v>485</v>
      </c>
      <c r="I73" s="13" t="s">
        <v>132</v>
      </c>
      <c r="J73" s="13" t="s">
        <v>132</v>
      </c>
      <c r="K73" s="55" t="s">
        <v>483</v>
      </c>
      <c r="L73" s="24" t="s">
        <v>486</v>
      </c>
      <c r="M73" s="22" t="s">
        <v>487</v>
      </c>
      <c r="N73" s="42">
        <v>44529</v>
      </c>
      <c r="O73" s="117">
        <v>822.06</v>
      </c>
      <c r="P73" s="40">
        <v>13176</v>
      </c>
      <c r="Q73" s="42">
        <v>44529</v>
      </c>
      <c r="R73" s="42">
        <v>44561</v>
      </c>
      <c r="S73" s="13" t="s">
        <v>400</v>
      </c>
      <c r="T73" s="40" t="s">
        <v>132</v>
      </c>
      <c r="U73" s="13" t="s">
        <v>190</v>
      </c>
      <c r="V73" s="90" t="s">
        <v>132</v>
      </c>
      <c r="W73" s="22" t="s">
        <v>112</v>
      </c>
      <c r="X73" s="13" t="s">
        <v>132</v>
      </c>
      <c r="Y73" s="5" t="s">
        <v>132</v>
      </c>
      <c r="Z73" s="13" t="s">
        <v>132</v>
      </c>
      <c r="AA73" s="13" t="s">
        <v>132</v>
      </c>
      <c r="AB73" s="13" t="s">
        <v>132</v>
      </c>
      <c r="AC73" s="13" t="s">
        <v>132</v>
      </c>
      <c r="AD73" s="13" t="s">
        <v>132</v>
      </c>
      <c r="AE73" s="13" t="s">
        <v>132</v>
      </c>
      <c r="AF73" s="13" t="s">
        <v>132</v>
      </c>
      <c r="AG73" s="90"/>
      <c r="AH73" s="90"/>
      <c r="AI73" s="90"/>
      <c r="AJ73" s="90"/>
      <c r="AK73" s="90"/>
      <c r="AL73" s="126">
        <f t="shared" si="0"/>
        <v>822.06</v>
      </c>
      <c r="AM73" s="116"/>
      <c r="AN73" s="116">
        <v>219.4</v>
      </c>
      <c r="AO73" s="110">
        <f t="shared" si="1"/>
        <v>219.4</v>
      </c>
    </row>
    <row r="74" spans="1:41" s="6" customFormat="1" ht="60" x14ac:dyDescent="0.25">
      <c r="A74" s="21" t="s">
        <v>356</v>
      </c>
      <c r="B74" s="24" t="s">
        <v>470</v>
      </c>
      <c r="C74" s="22" t="s">
        <v>484</v>
      </c>
      <c r="D74" s="51" t="s">
        <v>88</v>
      </c>
      <c r="E74" s="51"/>
      <c r="F74" s="24" t="s">
        <v>469</v>
      </c>
      <c r="G74" s="13" t="s">
        <v>132</v>
      </c>
      <c r="H74" s="50" t="s">
        <v>485</v>
      </c>
      <c r="I74" s="13" t="s">
        <v>132</v>
      </c>
      <c r="J74" s="13" t="s">
        <v>132</v>
      </c>
      <c r="K74" s="55" t="s">
        <v>320</v>
      </c>
      <c r="L74" s="24" t="s">
        <v>489</v>
      </c>
      <c r="M74" s="24" t="s">
        <v>490</v>
      </c>
      <c r="N74" s="34">
        <v>44529</v>
      </c>
      <c r="O74" s="91">
        <v>355</v>
      </c>
      <c r="P74" s="50">
        <v>13177</v>
      </c>
      <c r="Q74" s="34">
        <v>44529</v>
      </c>
      <c r="R74" s="34" t="s">
        <v>494</v>
      </c>
      <c r="S74" s="47" t="s">
        <v>400</v>
      </c>
      <c r="T74" s="50" t="s">
        <v>132</v>
      </c>
      <c r="U74" s="47" t="s">
        <v>190</v>
      </c>
      <c r="V74" s="91" t="s">
        <v>132</v>
      </c>
      <c r="W74" s="24" t="s">
        <v>112</v>
      </c>
      <c r="X74" s="13" t="s">
        <v>132</v>
      </c>
      <c r="Y74" s="5" t="s">
        <v>132</v>
      </c>
      <c r="Z74" s="13" t="s">
        <v>132</v>
      </c>
      <c r="AA74" s="13" t="s">
        <v>132</v>
      </c>
      <c r="AB74" s="13" t="s">
        <v>132</v>
      </c>
      <c r="AC74" s="13" t="s">
        <v>132</v>
      </c>
      <c r="AD74" s="13" t="s">
        <v>132</v>
      </c>
      <c r="AE74" s="13" t="s">
        <v>132</v>
      </c>
      <c r="AF74" s="13" t="s">
        <v>132</v>
      </c>
      <c r="AG74" s="90"/>
      <c r="AH74" s="90"/>
      <c r="AI74" s="90"/>
      <c r="AJ74" s="90"/>
      <c r="AK74" s="90"/>
      <c r="AL74" s="126">
        <f t="shared" si="0"/>
        <v>355</v>
      </c>
      <c r="AM74" s="116"/>
      <c r="AN74" s="116">
        <v>355</v>
      </c>
      <c r="AO74" s="110">
        <f t="shared" si="1"/>
        <v>355</v>
      </c>
    </row>
    <row r="75" spans="1:41" s="6" customFormat="1" ht="60" x14ac:dyDescent="0.25">
      <c r="A75" s="21" t="s">
        <v>357</v>
      </c>
      <c r="B75" s="24" t="s">
        <v>495</v>
      </c>
      <c r="C75" s="13" t="s">
        <v>132</v>
      </c>
      <c r="D75" s="51" t="s">
        <v>88</v>
      </c>
      <c r="E75" s="51"/>
      <c r="F75" s="24" t="s">
        <v>469</v>
      </c>
      <c r="G75" s="13" t="s">
        <v>132</v>
      </c>
      <c r="H75" s="13" t="s">
        <v>132</v>
      </c>
      <c r="I75" s="13" t="s">
        <v>132</v>
      </c>
      <c r="J75" s="13" t="s">
        <v>132</v>
      </c>
      <c r="K75" s="55" t="s">
        <v>491</v>
      </c>
      <c r="L75" s="24" t="s">
        <v>492</v>
      </c>
      <c r="M75" s="22" t="s">
        <v>493</v>
      </c>
      <c r="N75" s="42">
        <v>44539</v>
      </c>
      <c r="O75" s="117">
        <v>36000</v>
      </c>
      <c r="P75" s="40">
        <v>13185</v>
      </c>
      <c r="Q75" s="42">
        <v>44539</v>
      </c>
      <c r="R75" s="42">
        <v>44904</v>
      </c>
      <c r="S75" s="13" t="s">
        <v>198</v>
      </c>
      <c r="T75" s="40" t="s">
        <v>132</v>
      </c>
      <c r="U75" s="13" t="s">
        <v>190</v>
      </c>
      <c r="V75" s="90" t="s">
        <v>132</v>
      </c>
      <c r="W75" s="22" t="s">
        <v>110</v>
      </c>
      <c r="X75" s="13" t="s">
        <v>132</v>
      </c>
      <c r="Y75" s="5" t="s">
        <v>132</v>
      </c>
      <c r="Z75" s="13" t="s">
        <v>132</v>
      </c>
      <c r="AA75" s="13" t="s">
        <v>132</v>
      </c>
      <c r="AB75" s="13" t="s">
        <v>132</v>
      </c>
      <c r="AC75" s="13" t="s">
        <v>132</v>
      </c>
      <c r="AD75" s="13" t="s">
        <v>132</v>
      </c>
      <c r="AE75" s="13" t="s">
        <v>132</v>
      </c>
      <c r="AF75" s="13" t="s">
        <v>132</v>
      </c>
      <c r="AG75" s="90"/>
      <c r="AH75" s="90"/>
      <c r="AI75" s="90"/>
      <c r="AJ75" s="90"/>
      <c r="AK75" s="90"/>
      <c r="AL75" s="126">
        <f t="shared" si="0"/>
        <v>36000</v>
      </c>
      <c r="AM75" s="116"/>
      <c r="AN75" s="116">
        <f>3000+1900+3000+3000+3000+3000</f>
        <v>16900</v>
      </c>
      <c r="AO75" s="110">
        <f t="shared" si="1"/>
        <v>16900</v>
      </c>
    </row>
    <row r="76" spans="1:41" s="6" customFormat="1" ht="45" x14ac:dyDescent="0.25">
      <c r="A76" s="21" t="s">
        <v>541</v>
      </c>
      <c r="B76" s="24" t="s">
        <v>502</v>
      </c>
      <c r="C76" s="22" t="s">
        <v>501</v>
      </c>
      <c r="D76" s="51" t="s">
        <v>88</v>
      </c>
      <c r="E76" s="51"/>
      <c r="F76" s="24" t="s">
        <v>497</v>
      </c>
      <c r="G76" s="13" t="s">
        <v>132</v>
      </c>
      <c r="H76" s="50" t="s">
        <v>500</v>
      </c>
      <c r="I76" s="13" t="s">
        <v>132</v>
      </c>
      <c r="J76" s="13" t="s">
        <v>132</v>
      </c>
      <c r="K76" s="55" t="s">
        <v>498</v>
      </c>
      <c r="L76" s="24" t="s">
        <v>499</v>
      </c>
      <c r="M76" s="22" t="s">
        <v>396</v>
      </c>
      <c r="N76" s="42">
        <v>44613</v>
      </c>
      <c r="O76" s="117">
        <v>506000</v>
      </c>
      <c r="P76" s="40">
        <v>13232</v>
      </c>
      <c r="Q76" s="42">
        <v>44613</v>
      </c>
      <c r="R76" s="42">
        <v>44926</v>
      </c>
      <c r="S76" s="13" t="s">
        <v>518</v>
      </c>
      <c r="T76" s="40" t="s">
        <v>132</v>
      </c>
      <c r="U76" s="13" t="s">
        <v>190</v>
      </c>
      <c r="V76" s="90" t="s">
        <v>132</v>
      </c>
      <c r="W76" s="22" t="s">
        <v>112</v>
      </c>
      <c r="X76" s="13" t="s">
        <v>132</v>
      </c>
      <c r="Y76" s="5" t="s">
        <v>132</v>
      </c>
      <c r="Z76" s="13" t="s">
        <v>132</v>
      </c>
      <c r="AA76" s="13" t="s">
        <v>132</v>
      </c>
      <c r="AB76" s="13" t="s">
        <v>132</v>
      </c>
      <c r="AC76" s="13" t="s">
        <v>132</v>
      </c>
      <c r="AD76" s="13" t="s">
        <v>132</v>
      </c>
      <c r="AE76" s="13" t="s">
        <v>132</v>
      </c>
      <c r="AF76" s="13" t="s">
        <v>132</v>
      </c>
      <c r="AG76" s="90"/>
      <c r="AH76" s="90"/>
      <c r="AI76" s="90"/>
      <c r="AJ76" s="90"/>
      <c r="AK76" s="90"/>
      <c r="AL76" s="126">
        <f t="shared" si="0"/>
        <v>506000</v>
      </c>
      <c r="AM76" s="116"/>
      <c r="AN76" s="116">
        <f>31498.5+22517+11638+74053.1+113.85+23529+3431.98+3719.9+26180.87+71674.9+32257.5+1948.1+22770</f>
        <v>325332.69999999995</v>
      </c>
      <c r="AO76" s="110">
        <f t="shared" si="1"/>
        <v>325332.69999999995</v>
      </c>
    </row>
    <row r="77" spans="1:41" s="6" customFormat="1" ht="45" x14ac:dyDescent="0.25">
      <c r="A77" s="21" t="s">
        <v>542</v>
      </c>
      <c r="B77" s="24" t="s">
        <v>506</v>
      </c>
      <c r="C77" s="22" t="s">
        <v>505</v>
      </c>
      <c r="D77" s="51" t="s">
        <v>88</v>
      </c>
      <c r="E77" s="51"/>
      <c r="F77" s="24" t="s">
        <v>497</v>
      </c>
      <c r="G77" s="13" t="s">
        <v>132</v>
      </c>
      <c r="H77" s="50" t="s">
        <v>397</v>
      </c>
      <c r="I77" s="13" t="s">
        <v>132</v>
      </c>
      <c r="J77" s="13" t="s">
        <v>132</v>
      </c>
      <c r="K77" s="55" t="s">
        <v>507</v>
      </c>
      <c r="L77" s="24" t="s">
        <v>503</v>
      </c>
      <c r="M77" s="24" t="s">
        <v>504</v>
      </c>
      <c r="N77" s="24">
        <v>44536</v>
      </c>
      <c r="O77" s="91">
        <v>33112</v>
      </c>
      <c r="P77" s="33">
        <v>13181</v>
      </c>
      <c r="Q77" s="34">
        <v>44536</v>
      </c>
      <c r="R77" s="34">
        <v>44561</v>
      </c>
      <c r="S77" s="24">
        <v>101</v>
      </c>
      <c r="T77" s="24" t="s">
        <v>132</v>
      </c>
      <c r="U77" s="24" t="s">
        <v>190</v>
      </c>
      <c r="V77" s="121" t="s">
        <v>132</v>
      </c>
      <c r="W77" s="24" t="s">
        <v>113</v>
      </c>
      <c r="X77" s="47" t="s">
        <v>132</v>
      </c>
      <c r="Y77" s="12" t="s">
        <v>132</v>
      </c>
      <c r="Z77" s="47" t="s">
        <v>132</v>
      </c>
      <c r="AA77" s="47" t="s">
        <v>132</v>
      </c>
      <c r="AB77" s="47" t="s">
        <v>132</v>
      </c>
      <c r="AC77" s="13" t="s">
        <v>132</v>
      </c>
      <c r="AD77" s="13" t="s">
        <v>132</v>
      </c>
      <c r="AE77" s="13" t="s">
        <v>132</v>
      </c>
      <c r="AF77" s="13" t="s">
        <v>132</v>
      </c>
      <c r="AG77" s="90"/>
      <c r="AH77" s="90"/>
      <c r="AI77" s="90"/>
      <c r="AJ77" s="90"/>
      <c r="AK77" s="90"/>
      <c r="AL77" s="126">
        <f t="shared" si="0"/>
        <v>33112</v>
      </c>
      <c r="AM77" s="116"/>
      <c r="AN77" s="116">
        <v>33112</v>
      </c>
      <c r="AO77" s="110">
        <f t="shared" si="1"/>
        <v>33112</v>
      </c>
    </row>
    <row r="78" spans="1:41" s="6" customFormat="1" ht="45" x14ac:dyDescent="0.25">
      <c r="A78" s="21" t="s">
        <v>358</v>
      </c>
      <c r="B78" s="24" t="s">
        <v>508</v>
      </c>
      <c r="C78" s="22" t="s">
        <v>509</v>
      </c>
      <c r="D78" s="51" t="s">
        <v>88</v>
      </c>
      <c r="E78" s="51"/>
      <c r="F78" s="24" t="s">
        <v>497</v>
      </c>
      <c r="G78" s="13" t="s">
        <v>132</v>
      </c>
      <c r="H78" s="50" t="s">
        <v>510</v>
      </c>
      <c r="I78" s="13" t="s">
        <v>132</v>
      </c>
      <c r="J78" s="13" t="s">
        <v>132</v>
      </c>
      <c r="K78" s="55" t="s">
        <v>511</v>
      </c>
      <c r="L78" s="24" t="s">
        <v>512</v>
      </c>
      <c r="M78" s="42" t="s">
        <v>313</v>
      </c>
      <c r="N78" s="42">
        <v>44238</v>
      </c>
      <c r="O78" s="117">
        <v>24798.400000000001</v>
      </c>
      <c r="P78" s="42" t="s">
        <v>132</v>
      </c>
      <c r="Q78" s="42">
        <v>44238</v>
      </c>
      <c r="R78" s="42">
        <v>44561</v>
      </c>
      <c r="S78" s="42" t="s">
        <v>198</v>
      </c>
      <c r="T78" s="42" t="s">
        <v>511</v>
      </c>
      <c r="U78" s="42" t="s">
        <v>190</v>
      </c>
      <c r="V78" s="90" t="s">
        <v>132</v>
      </c>
      <c r="W78" s="42" t="s">
        <v>517</v>
      </c>
      <c r="X78" s="13" t="s">
        <v>132</v>
      </c>
      <c r="Y78" s="5" t="s">
        <v>132</v>
      </c>
      <c r="Z78" s="13" t="s">
        <v>132</v>
      </c>
      <c r="AA78" s="13" t="s">
        <v>132</v>
      </c>
      <c r="AB78" s="13" t="s">
        <v>132</v>
      </c>
      <c r="AC78" s="13" t="s">
        <v>132</v>
      </c>
      <c r="AD78" s="13" t="s">
        <v>132</v>
      </c>
      <c r="AE78" s="13" t="s">
        <v>132</v>
      </c>
      <c r="AF78" s="13" t="s">
        <v>132</v>
      </c>
      <c r="AG78" s="90"/>
      <c r="AH78" s="90"/>
      <c r="AI78" s="90"/>
      <c r="AJ78" s="90"/>
      <c r="AK78" s="90"/>
      <c r="AL78" s="126">
        <f t="shared" si="0"/>
        <v>24798.400000000001</v>
      </c>
      <c r="AM78" s="116"/>
      <c r="AN78" s="116">
        <v>6671.44</v>
      </c>
      <c r="AO78" s="110">
        <f t="shared" si="1"/>
        <v>6671.44</v>
      </c>
    </row>
    <row r="79" spans="1:41" s="6" customFormat="1" ht="45" x14ac:dyDescent="0.25">
      <c r="A79" s="21" t="s">
        <v>359</v>
      </c>
      <c r="B79" s="24" t="s">
        <v>516</v>
      </c>
      <c r="C79" s="22" t="s">
        <v>484</v>
      </c>
      <c r="D79" s="51" t="s">
        <v>88</v>
      </c>
      <c r="E79" s="51"/>
      <c r="F79" s="24" t="s">
        <v>497</v>
      </c>
      <c r="G79" s="13" t="s">
        <v>132</v>
      </c>
      <c r="H79" s="50" t="s">
        <v>485</v>
      </c>
      <c r="I79" s="13" t="s">
        <v>132</v>
      </c>
      <c r="J79" s="13" t="s">
        <v>132</v>
      </c>
      <c r="K79" s="55" t="s">
        <v>513</v>
      </c>
      <c r="L79" s="24" t="s">
        <v>514</v>
      </c>
      <c r="M79" s="22" t="s">
        <v>515</v>
      </c>
      <c r="N79" s="42">
        <v>44498</v>
      </c>
      <c r="O79" s="117">
        <v>519</v>
      </c>
      <c r="P79" s="40">
        <v>13178</v>
      </c>
      <c r="Q79" s="42">
        <v>44498</v>
      </c>
      <c r="R79" s="42">
        <v>44926</v>
      </c>
      <c r="S79" s="13" t="s">
        <v>400</v>
      </c>
      <c r="T79" s="40" t="s">
        <v>132</v>
      </c>
      <c r="U79" s="13" t="s">
        <v>190</v>
      </c>
      <c r="V79" s="90" t="s">
        <v>132</v>
      </c>
      <c r="W79" s="22" t="s">
        <v>112</v>
      </c>
      <c r="X79" s="13" t="s">
        <v>132</v>
      </c>
      <c r="Y79" s="5" t="s">
        <v>132</v>
      </c>
      <c r="Z79" s="13" t="s">
        <v>132</v>
      </c>
      <c r="AA79" s="13" t="s">
        <v>132</v>
      </c>
      <c r="AB79" s="13" t="s">
        <v>132</v>
      </c>
      <c r="AC79" s="13" t="s">
        <v>132</v>
      </c>
      <c r="AD79" s="13" t="s">
        <v>132</v>
      </c>
      <c r="AE79" s="13" t="s">
        <v>132</v>
      </c>
      <c r="AF79" s="13" t="s">
        <v>132</v>
      </c>
      <c r="AG79" s="90"/>
      <c r="AH79" s="90"/>
      <c r="AI79" s="90"/>
      <c r="AJ79" s="90"/>
      <c r="AK79" s="90"/>
      <c r="AL79" s="126">
        <f t="shared" si="0"/>
        <v>519</v>
      </c>
      <c r="AM79" s="116"/>
      <c r="AN79" s="116">
        <v>519</v>
      </c>
      <c r="AO79" s="110">
        <f t="shared" si="1"/>
        <v>519</v>
      </c>
    </row>
    <row r="80" spans="1:41" s="6" customFormat="1" ht="45" x14ac:dyDescent="0.25">
      <c r="A80" s="21" t="s">
        <v>543</v>
      </c>
      <c r="B80" s="24" t="s">
        <v>546</v>
      </c>
      <c r="C80" s="22" t="s">
        <v>547</v>
      </c>
      <c r="D80" s="51" t="s">
        <v>88</v>
      </c>
      <c r="E80" s="51"/>
      <c r="F80" s="24" t="s">
        <v>497</v>
      </c>
      <c r="G80" s="13" t="s">
        <v>132</v>
      </c>
      <c r="H80" s="50" t="s">
        <v>548</v>
      </c>
      <c r="I80" s="13" t="s">
        <v>132</v>
      </c>
      <c r="J80" s="13" t="s">
        <v>132</v>
      </c>
      <c r="K80" s="55" t="s">
        <v>549</v>
      </c>
      <c r="L80" s="24" t="s">
        <v>550</v>
      </c>
      <c r="M80" s="22" t="s">
        <v>589</v>
      </c>
      <c r="N80" s="42">
        <v>44613</v>
      </c>
      <c r="O80" s="117">
        <v>195000</v>
      </c>
      <c r="P80" s="40">
        <v>13245</v>
      </c>
      <c r="Q80" s="42">
        <v>44613</v>
      </c>
      <c r="R80" s="42">
        <v>44926</v>
      </c>
      <c r="S80" s="13" t="s">
        <v>587</v>
      </c>
      <c r="T80" s="40" t="s">
        <v>132</v>
      </c>
      <c r="U80" s="13" t="s">
        <v>190</v>
      </c>
      <c r="V80" s="90" t="s">
        <v>132</v>
      </c>
      <c r="W80" s="22" t="s">
        <v>112</v>
      </c>
      <c r="X80" s="13" t="s">
        <v>132</v>
      </c>
      <c r="Y80" s="5" t="s">
        <v>132</v>
      </c>
      <c r="Z80" s="13" t="s">
        <v>132</v>
      </c>
      <c r="AA80" s="13" t="s">
        <v>132</v>
      </c>
      <c r="AB80" s="13" t="s">
        <v>132</v>
      </c>
      <c r="AC80" s="13" t="s">
        <v>132</v>
      </c>
      <c r="AD80" s="13" t="s">
        <v>132</v>
      </c>
      <c r="AE80" s="13" t="s">
        <v>132</v>
      </c>
      <c r="AF80" s="13" t="s">
        <v>132</v>
      </c>
      <c r="AG80" s="90"/>
      <c r="AH80" s="90"/>
      <c r="AI80" s="90"/>
      <c r="AJ80" s="90"/>
      <c r="AK80" s="90"/>
      <c r="AL80" s="126">
        <f t="shared" si="0"/>
        <v>195000</v>
      </c>
      <c r="AM80" s="116"/>
      <c r="AN80" s="116">
        <f>4290+2925+14300+4504.5+3071.25+9750+2275+6500+2860+9750+5161</f>
        <v>65386.75</v>
      </c>
      <c r="AO80" s="110">
        <f t="shared" si="1"/>
        <v>65386.75</v>
      </c>
    </row>
    <row r="81" spans="1:41" s="6" customFormat="1" ht="45" x14ac:dyDescent="0.25">
      <c r="A81" s="21" t="s">
        <v>360</v>
      </c>
      <c r="B81" s="24" t="s">
        <v>268</v>
      </c>
      <c r="C81" s="22" t="s">
        <v>269</v>
      </c>
      <c r="D81" s="51" t="s">
        <v>88</v>
      </c>
      <c r="E81" s="51"/>
      <c r="F81" s="24" t="s">
        <v>497</v>
      </c>
      <c r="G81" s="13" t="s">
        <v>132</v>
      </c>
      <c r="H81" s="50"/>
      <c r="I81" s="13" t="s">
        <v>132</v>
      </c>
      <c r="J81" s="13" t="s">
        <v>132</v>
      </c>
      <c r="K81" s="55" t="s">
        <v>551</v>
      </c>
      <c r="L81" s="24" t="s">
        <v>552</v>
      </c>
      <c r="M81" s="22" t="s">
        <v>592</v>
      </c>
      <c r="N81" s="42">
        <v>44117</v>
      </c>
      <c r="O81" s="117">
        <v>102762.5</v>
      </c>
      <c r="P81" s="40">
        <v>12909</v>
      </c>
      <c r="Q81" s="42">
        <v>44117</v>
      </c>
      <c r="R81" s="42">
        <v>44664</v>
      </c>
      <c r="S81" s="13">
        <v>126</v>
      </c>
      <c r="T81" s="40" t="s">
        <v>132</v>
      </c>
      <c r="U81" s="13" t="s">
        <v>190</v>
      </c>
      <c r="V81" s="90" t="s">
        <v>132</v>
      </c>
      <c r="W81" s="22" t="s">
        <v>111</v>
      </c>
      <c r="X81" s="13" t="s">
        <v>132</v>
      </c>
      <c r="Y81" s="5">
        <v>3</v>
      </c>
      <c r="Z81" s="42">
        <v>44659</v>
      </c>
      <c r="AA81" s="40">
        <v>13272</v>
      </c>
      <c r="AB81" s="13" t="s">
        <v>114</v>
      </c>
      <c r="AC81" s="42">
        <v>44660</v>
      </c>
      <c r="AD81" s="42">
        <v>44842</v>
      </c>
      <c r="AE81" s="13" t="s">
        <v>132</v>
      </c>
      <c r="AF81" s="13" t="s">
        <v>132</v>
      </c>
      <c r="AG81" s="90"/>
      <c r="AH81" s="90"/>
      <c r="AI81" s="90"/>
      <c r="AJ81" s="90"/>
      <c r="AK81" s="90"/>
      <c r="AL81" s="126">
        <f t="shared" si="0"/>
        <v>102762.5</v>
      </c>
      <c r="AM81" s="116"/>
      <c r="AN81" s="116">
        <f>46860</f>
        <v>46860</v>
      </c>
      <c r="AO81" s="110">
        <f t="shared" si="1"/>
        <v>46860</v>
      </c>
    </row>
    <row r="82" spans="1:41" s="6" customFormat="1" ht="45" x14ac:dyDescent="0.25">
      <c r="A82" s="21" t="s">
        <v>544</v>
      </c>
      <c r="B82" s="24" t="s">
        <v>554</v>
      </c>
      <c r="C82" s="22" t="s">
        <v>555</v>
      </c>
      <c r="D82" s="51" t="s">
        <v>88</v>
      </c>
      <c r="E82" s="51"/>
      <c r="F82" s="24" t="s">
        <v>497</v>
      </c>
      <c r="G82" s="13" t="s">
        <v>132</v>
      </c>
      <c r="H82" s="50" t="s">
        <v>556</v>
      </c>
      <c r="I82" s="13" t="s">
        <v>132</v>
      </c>
      <c r="J82" s="13" t="s">
        <v>132</v>
      </c>
      <c r="K82" s="55" t="s">
        <v>557</v>
      </c>
      <c r="L82" s="24" t="s">
        <v>558</v>
      </c>
      <c r="M82" s="22" t="s">
        <v>593</v>
      </c>
      <c r="N82" s="42">
        <v>43950</v>
      </c>
      <c r="O82" s="117">
        <v>59010</v>
      </c>
      <c r="P82" s="40">
        <v>12797</v>
      </c>
      <c r="Q82" s="42">
        <v>43950</v>
      </c>
      <c r="R82" s="42">
        <v>44196</v>
      </c>
      <c r="S82" s="13" t="s">
        <v>198</v>
      </c>
      <c r="T82" s="40" t="s">
        <v>132</v>
      </c>
      <c r="U82" s="13" t="s">
        <v>190</v>
      </c>
      <c r="V82" s="90" t="s">
        <v>132</v>
      </c>
      <c r="W82" s="22" t="s">
        <v>111</v>
      </c>
      <c r="X82" s="13" t="s">
        <v>132</v>
      </c>
      <c r="Y82" s="5">
        <v>2</v>
      </c>
      <c r="Z82" s="42">
        <v>44560</v>
      </c>
      <c r="AA82" s="40">
        <v>13198</v>
      </c>
      <c r="AB82" s="13" t="s">
        <v>114</v>
      </c>
      <c r="AC82" s="42">
        <v>44562</v>
      </c>
      <c r="AD82" s="42">
        <v>44926</v>
      </c>
      <c r="AE82" s="13" t="s">
        <v>132</v>
      </c>
      <c r="AF82" s="13" t="s">
        <v>132</v>
      </c>
      <c r="AG82" s="90"/>
      <c r="AH82" s="90"/>
      <c r="AI82" s="90"/>
      <c r="AJ82" s="90"/>
      <c r="AK82" s="90"/>
      <c r="AL82" s="126">
        <f t="shared" si="0"/>
        <v>59010</v>
      </c>
      <c r="AM82" s="116"/>
      <c r="AN82" s="116">
        <f>9760+10971</f>
        <v>20731</v>
      </c>
      <c r="AO82" s="110">
        <f t="shared" si="1"/>
        <v>20731</v>
      </c>
    </row>
    <row r="83" spans="1:41" s="6" customFormat="1" ht="45" x14ac:dyDescent="0.25">
      <c r="A83" s="21" t="s">
        <v>545</v>
      </c>
      <c r="B83" s="24" t="s">
        <v>560</v>
      </c>
      <c r="C83" s="22" t="s">
        <v>561</v>
      </c>
      <c r="D83" s="51" t="s">
        <v>88</v>
      </c>
      <c r="E83" s="51"/>
      <c r="F83" s="24" t="s">
        <v>497</v>
      </c>
      <c r="G83" s="13" t="s">
        <v>132</v>
      </c>
      <c r="H83" s="50" t="s">
        <v>562</v>
      </c>
      <c r="I83" s="13" t="s">
        <v>132</v>
      </c>
      <c r="J83" s="13" t="s">
        <v>132</v>
      </c>
      <c r="K83" s="55" t="s">
        <v>563</v>
      </c>
      <c r="L83" s="24" t="s">
        <v>564</v>
      </c>
      <c r="M83" s="22" t="s">
        <v>440</v>
      </c>
      <c r="N83" s="42">
        <v>43467</v>
      </c>
      <c r="O83" s="117">
        <v>35000</v>
      </c>
      <c r="P83" s="40">
        <v>12472</v>
      </c>
      <c r="Q83" s="42">
        <v>43467</v>
      </c>
      <c r="R83" s="42">
        <v>43830</v>
      </c>
      <c r="S83" s="13">
        <v>117</v>
      </c>
      <c r="T83" s="40" t="s">
        <v>132</v>
      </c>
      <c r="U83" s="13" t="s">
        <v>190</v>
      </c>
      <c r="V83" s="90" t="s">
        <v>132</v>
      </c>
      <c r="W83" s="22" t="s">
        <v>166</v>
      </c>
      <c r="X83" s="13" t="s">
        <v>132</v>
      </c>
      <c r="Y83" s="5">
        <v>3</v>
      </c>
      <c r="Z83" s="42">
        <v>44560</v>
      </c>
      <c r="AA83" s="40">
        <v>13197</v>
      </c>
      <c r="AB83" s="13" t="s">
        <v>114</v>
      </c>
      <c r="AC83" s="42">
        <v>44562</v>
      </c>
      <c r="AD83" s="42">
        <v>44926</v>
      </c>
      <c r="AE83" s="13" t="s">
        <v>132</v>
      </c>
      <c r="AF83" s="13" t="s">
        <v>132</v>
      </c>
      <c r="AG83" s="90"/>
      <c r="AH83" s="90"/>
      <c r="AI83" s="90"/>
      <c r="AJ83" s="90"/>
      <c r="AK83" s="90"/>
      <c r="AL83" s="126">
        <f t="shared" si="0"/>
        <v>35000</v>
      </c>
      <c r="AM83" s="116"/>
      <c r="AN83" s="116">
        <f>13128.27</f>
        <v>13128.27</v>
      </c>
      <c r="AO83" s="110">
        <f t="shared" si="1"/>
        <v>13128.27</v>
      </c>
    </row>
    <row r="84" spans="1:41" s="6" customFormat="1" ht="45" x14ac:dyDescent="0.25">
      <c r="A84" s="21" t="s">
        <v>553</v>
      </c>
      <c r="B84" s="24" t="s">
        <v>568</v>
      </c>
      <c r="C84" s="22" t="s">
        <v>566</v>
      </c>
      <c r="D84" s="51" t="s">
        <v>88</v>
      </c>
      <c r="E84" s="51"/>
      <c r="F84" s="24" t="s">
        <v>497</v>
      </c>
      <c r="G84" s="13" t="s">
        <v>132</v>
      </c>
      <c r="H84" s="50" t="s">
        <v>567</v>
      </c>
      <c r="I84" s="13" t="s">
        <v>132</v>
      </c>
      <c r="J84" s="13" t="s">
        <v>132</v>
      </c>
      <c r="K84" s="55" t="s">
        <v>590</v>
      </c>
      <c r="L84" s="24" t="s">
        <v>569</v>
      </c>
      <c r="M84" s="24" t="s">
        <v>591</v>
      </c>
      <c r="N84" s="42">
        <v>44553</v>
      </c>
      <c r="O84" s="117">
        <v>869000</v>
      </c>
      <c r="P84" s="40">
        <v>13196</v>
      </c>
      <c r="Q84" s="42">
        <v>44553</v>
      </c>
      <c r="R84" s="42">
        <v>44918</v>
      </c>
      <c r="S84" s="13" t="s">
        <v>198</v>
      </c>
      <c r="T84" s="40" t="s">
        <v>132</v>
      </c>
      <c r="U84" s="13" t="s">
        <v>190</v>
      </c>
      <c r="V84" s="90" t="s">
        <v>132</v>
      </c>
      <c r="W84" s="22" t="s">
        <v>111</v>
      </c>
      <c r="X84" s="13" t="s">
        <v>132</v>
      </c>
      <c r="Y84" s="5" t="s">
        <v>132</v>
      </c>
      <c r="Z84" s="13" t="s">
        <v>132</v>
      </c>
      <c r="AA84" s="13" t="s">
        <v>132</v>
      </c>
      <c r="AB84" s="13" t="s">
        <v>132</v>
      </c>
      <c r="AC84" s="13" t="s">
        <v>132</v>
      </c>
      <c r="AD84" s="13" t="s">
        <v>132</v>
      </c>
      <c r="AE84" s="13" t="s">
        <v>132</v>
      </c>
      <c r="AF84" s="13" t="s">
        <v>132</v>
      </c>
      <c r="AG84" s="90"/>
      <c r="AH84" s="90"/>
      <c r="AI84" s="90"/>
      <c r="AJ84" s="90"/>
      <c r="AK84" s="90"/>
      <c r="AL84" s="126">
        <f t="shared" si="0"/>
        <v>869000</v>
      </c>
      <c r="AM84" s="116"/>
      <c r="AN84" s="116">
        <f>8319.71+10000+15000+7082.34</f>
        <v>40402.050000000003</v>
      </c>
      <c r="AO84" s="110">
        <f t="shared" si="1"/>
        <v>40402.050000000003</v>
      </c>
    </row>
    <row r="85" spans="1:41" s="6" customFormat="1" ht="45" x14ac:dyDescent="0.25">
      <c r="A85" s="21" t="s">
        <v>559</v>
      </c>
      <c r="B85" s="24" t="s">
        <v>573</v>
      </c>
      <c r="C85" s="22" t="s">
        <v>478</v>
      </c>
      <c r="D85" s="51" t="s">
        <v>88</v>
      </c>
      <c r="E85" s="51"/>
      <c r="F85" s="24" t="s">
        <v>497</v>
      </c>
      <c r="G85" s="13" t="s">
        <v>132</v>
      </c>
      <c r="H85" s="50" t="s">
        <v>572</v>
      </c>
      <c r="I85" s="13" t="s">
        <v>132</v>
      </c>
      <c r="J85" s="13" t="s">
        <v>132</v>
      </c>
      <c r="K85" s="55" t="s">
        <v>571</v>
      </c>
      <c r="L85" s="24" t="s">
        <v>486</v>
      </c>
      <c r="M85" s="22" t="s">
        <v>487</v>
      </c>
      <c r="N85" s="42">
        <v>44606</v>
      </c>
      <c r="O85" s="117">
        <v>48570</v>
      </c>
      <c r="P85" s="40">
        <v>13229</v>
      </c>
      <c r="Q85" s="42">
        <v>44606</v>
      </c>
      <c r="R85" s="42">
        <v>44926</v>
      </c>
      <c r="S85" s="13" t="s">
        <v>400</v>
      </c>
      <c r="T85" s="40" t="s">
        <v>132</v>
      </c>
      <c r="U85" s="13" t="s">
        <v>190</v>
      </c>
      <c r="V85" s="90" t="s">
        <v>132</v>
      </c>
      <c r="W85" s="22" t="s">
        <v>112</v>
      </c>
      <c r="X85" s="13" t="s">
        <v>132</v>
      </c>
      <c r="Y85" s="5" t="s">
        <v>132</v>
      </c>
      <c r="Z85" s="13" t="s">
        <v>132</v>
      </c>
      <c r="AA85" s="13" t="s">
        <v>132</v>
      </c>
      <c r="AB85" s="13" t="s">
        <v>132</v>
      </c>
      <c r="AC85" s="13" t="s">
        <v>132</v>
      </c>
      <c r="AD85" s="13" t="s">
        <v>132</v>
      </c>
      <c r="AE85" s="13" t="s">
        <v>132</v>
      </c>
      <c r="AF85" s="13" t="s">
        <v>132</v>
      </c>
      <c r="AG85" s="90"/>
      <c r="AH85" s="90"/>
      <c r="AI85" s="90"/>
      <c r="AJ85" s="90"/>
      <c r="AK85" s="90"/>
      <c r="AL85" s="126">
        <f t="shared" ref="AL85:AL98" si="2">O85-AH85+AG85+AK85</f>
        <v>48570</v>
      </c>
      <c r="AM85" s="116"/>
      <c r="AN85" s="116">
        <f>6495.4+1500</f>
        <v>7995.4</v>
      </c>
      <c r="AO85" s="110">
        <f t="shared" ref="AO85:AO98" si="3">AM85+AN85</f>
        <v>7995.4</v>
      </c>
    </row>
    <row r="86" spans="1:41" s="6" customFormat="1" ht="45" x14ac:dyDescent="0.25">
      <c r="A86" s="21" t="s">
        <v>565</v>
      </c>
      <c r="B86" s="24" t="s">
        <v>578</v>
      </c>
      <c r="C86" s="22" t="s">
        <v>576</v>
      </c>
      <c r="D86" s="51" t="s">
        <v>88</v>
      </c>
      <c r="E86" s="51"/>
      <c r="F86" s="24" t="s">
        <v>497</v>
      </c>
      <c r="G86" s="13" t="s">
        <v>132</v>
      </c>
      <c r="H86" s="50" t="s">
        <v>577</v>
      </c>
      <c r="I86" s="13" t="s">
        <v>132</v>
      </c>
      <c r="J86" s="13" t="s">
        <v>132</v>
      </c>
      <c r="K86" s="55" t="s">
        <v>575</v>
      </c>
      <c r="L86" s="24" t="s">
        <v>486</v>
      </c>
      <c r="M86" s="22" t="s">
        <v>487</v>
      </c>
      <c r="N86" s="42">
        <v>44603</v>
      </c>
      <c r="O86" s="117">
        <v>60877.7</v>
      </c>
      <c r="P86" s="40">
        <v>13229</v>
      </c>
      <c r="Q86" s="42">
        <v>44603</v>
      </c>
      <c r="R86" s="42">
        <v>44926</v>
      </c>
      <c r="S86" s="13" t="s">
        <v>587</v>
      </c>
      <c r="T86" s="40" t="s">
        <v>132</v>
      </c>
      <c r="U86" s="13" t="s">
        <v>190</v>
      </c>
      <c r="V86" s="90" t="s">
        <v>132</v>
      </c>
      <c r="W86" s="22" t="s">
        <v>112</v>
      </c>
      <c r="X86" s="13" t="s">
        <v>132</v>
      </c>
      <c r="Y86" s="5" t="s">
        <v>132</v>
      </c>
      <c r="Z86" s="13" t="s">
        <v>132</v>
      </c>
      <c r="AA86" s="13" t="s">
        <v>132</v>
      </c>
      <c r="AB86" s="13" t="s">
        <v>132</v>
      </c>
      <c r="AC86" s="13" t="s">
        <v>132</v>
      </c>
      <c r="AD86" s="13" t="s">
        <v>132</v>
      </c>
      <c r="AE86" s="13" t="s">
        <v>132</v>
      </c>
      <c r="AF86" s="13" t="s">
        <v>132</v>
      </c>
      <c r="AG86" s="90"/>
      <c r="AH86" s="90"/>
      <c r="AI86" s="90"/>
      <c r="AJ86" s="90"/>
      <c r="AK86" s="90"/>
      <c r="AL86" s="126">
        <f t="shared" si="2"/>
        <v>60877.7</v>
      </c>
      <c r="AM86" s="116"/>
      <c r="AN86" s="116">
        <f>11167</f>
        <v>11167</v>
      </c>
      <c r="AO86" s="110">
        <f t="shared" si="3"/>
        <v>11167</v>
      </c>
    </row>
    <row r="87" spans="1:41" s="6" customFormat="1" ht="45" x14ac:dyDescent="0.25">
      <c r="A87" s="21" t="s">
        <v>570</v>
      </c>
      <c r="B87" s="24" t="s">
        <v>581</v>
      </c>
      <c r="C87" s="22" t="s">
        <v>583</v>
      </c>
      <c r="D87" s="51" t="s">
        <v>88</v>
      </c>
      <c r="E87" s="51"/>
      <c r="F87" s="24" t="s">
        <v>497</v>
      </c>
      <c r="G87" s="13" t="s">
        <v>132</v>
      </c>
      <c r="H87" s="50" t="s">
        <v>582</v>
      </c>
      <c r="I87" s="13" t="s">
        <v>132</v>
      </c>
      <c r="J87" s="13" t="s">
        <v>132</v>
      </c>
      <c r="K87" s="55" t="s">
        <v>580</v>
      </c>
      <c r="L87" s="24" t="s">
        <v>177</v>
      </c>
      <c r="M87" s="22" t="s">
        <v>216</v>
      </c>
      <c r="N87" s="42">
        <v>44627</v>
      </c>
      <c r="O87" s="117">
        <v>1412720</v>
      </c>
      <c r="P87" s="40">
        <v>13244</v>
      </c>
      <c r="Q87" s="42">
        <v>44627</v>
      </c>
      <c r="R87" s="42">
        <v>44926</v>
      </c>
      <c r="S87" s="13" t="s">
        <v>400</v>
      </c>
      <c r="T87" s="40" t="s">
        <v>132</v>
      </c>
      <c r="U87" s="13" t="s">
        <v>190</v>
      </c>
      <c r="V87" s="90" t="s">
        <v>132</v>
      </c>
      <c r="W87" s="22" t="s">
        <v>112</v>
      </c>
      <c r="X87" s="13" t="s">
        <v>132</v>
      </c>
      <c r="Y87" s="5" t="s">
        <v>132</v>
      </c>
      <c r="Z87" s="13" t="s">
        <v>132</v>
      </c>
      <c r="AA87" s="13" t="s">
        <v>132</v>
      </c>
      <c r="AB87" s="13" t="s">
        <v>132</v>
      </c>
      <c r="AC87" s="13" t="s">
        <v>132</v>
      </c>
      <c r="AD87" s="13" t="s">
        <v>132</v>
      </c>
      <c r="AE87" s="13" t="s">
        <v>132</v>
      </c>
      <c r="AF87" s="13" t="s">
        <v>132</v>
      </c>
      <c r="AG87" s="90"/>
      <c r="AH87" s="90"/>
      <c r="AI87" s="90"/>
      <c r="AJ87" s="90"/>
      <c r="AK87" s="90"/>
      <c r="AL87" s="126">
        <f t="shared" si="2"/>
        <v>1412720</v>
      </c>
      <c r="AM87" s="116"/>
      <c r="AN87" s="116">
        <f>11854.65+13243.2+13489.2</f>
        <v>38587.050000000003</v>
      </c>
      <c r="AO87" s="110">
        <f t="shared" si="3"/>
        <v>38587.050000000003</v>
      </c>
    </row>
    <row r="88" spans="1:41" s="6" customFormat="1" ht="45" x14ac:dyDescent="0.25">
      <c r="A88" s="21" t="s">
        <v>574</v>
      </c>
      <c r="B88" s="24" t="s">
        <v>578</v>
      </c>
      <c r="C88" s="22" t="s">
        <v>576</v>
      </c>
      <c r="D88" s="51" t="s">
        <v>88</v>
      </c>
      <c r="E88" s="51"/>
      <c r="F88" s="24" t="s">
        <v>497</v>
      </c>
      <c r="G88" s="13" t="s">
        <v>132</v>
      </c>
      <c r="H88" s="50" t="s">
        <v>586</v>
      </c>
      <c r="I88" s="13" t="s">
        <v>132</v>
      </c>
      <c r="J88" s="13" t="s">
        <v>132</v>
      </c>
      <c r="K88" s="55" t="s">
        <v>584</v>
      </c>
      <c r="L88" s="24" t="s">
        <v>585</v>
      </c>
      <c r="M88" s="22" t="s">
        <v>588</v>
      </c>
      <c r="N88" s="42">
        <v>44603</v>
      </c>
      <c r="O88" s="117">
        <v>40782.9</v>
      </c>
      <c r="P88" s="40">
        <v>13232</v>
      </c>
      <c r="Q88" s="42">
        <v>44603</v>
      </c>
      <c r="R88" s="42">
        <v>44926</v>
      </c>
      <c r="S88" s="13" t="s">
        <v>400</v>
      </c>
      <c r="T88" s="40" t="s">
        <v>132</v>
      </c>
      <c r="U88" s="13" t="s">
        <v>190</v>
      </c>
      <c r="V88" s="90" t="s">
        <v>132</v>
      </c>
      <c r="W88" s="22" t="s">
        <v>112</v>
      </c>
      <c r="X88" s="13" t="s">
        <v>132</v>
      </c>
      <c r="Y88" s="5" t="s">
        <v>132</v>
      </c>
      <c r="Z88" s="13" t="s">
        <v>132</v>
      </c>
      <c r="AA88" s="13" t="s">
        <v>132</v>
      </c>
      <c r="AB88" s="13" t="s">
        <v>132</v>
      </c>
      <c r="AC88" s="13" t="s">
        <v>132</v>
      </c>
      <c r="AD88" s="13" t="s">
        <v>132</v>
      </c>
      <c r="AE88" s="13" t="s">
        <v>132</v>
      </c>
      <c r="AF88" s="13" t="s">
        <v>132</v>
      </c>
      <c r="AG88" s="90"/>
      <c r="AH88" s="90"/>
      <c r="AI88" s="90"/>
      <c r="AJ88" s="90"/>
      <c r="AK88" s="90"/>
      <c r="AL88" s="126">
        <f t="shared" si="2"/>
        <v>40782.9</v>
      </c>
      <c r="AM88" s="116"/>
      <c r="AN88" s="116">
        <f>4794.1</f>
        <v>4794.1000000000004</v>
      </c>
      <c r="AO88" s="110">
        <f t="shared" si="3"/>
        <v>4794.1000000000004</v>
      </c>
    </row>
    <row r="89" spans="1:41" s="6" customFormat="1" ht="45" x14ac:dyDescent="0.25">
      <c r="A89" s="21" t="s">
        <v>579</v>
      </c>
      <c r="B89" s="24" t="s">
        <v>595</v>
      </c>
      <c r="C89" s="22" t="s">
        <v>597</v>
      </c>
      <c r="D89" s="51" t="s">
        <v>88</v>
      </c>
      <c r="E89" s="51"/>
      <c r="F89" s="24" t="s">
        <v>497</v>
      </c>
      <c r="G89" s="13" t="s">
        <v>132</v>
      </c>
      <c r="H89" s="50" t="s">
        <v>596</v>
      </c>
      <c r="I89" s="13" t="s">
        <v>132</v>
      </c>
      <c r="J89" s="13" t="s">
        <v>132</v>
      </c>
      <c r="K89" s="55" t="s">
        <v>598</v>
      </c>
      <c r="L89" s="24" t="s">
        <v>599</v>
      </c>
      <c r="M89" s="22" t="s">
        <v>635</v>
      </c>
      <c r="N89" s="42">
        <v>44652</v>
      </c>
      <c r="O89" s="117">
        <v>170184.5</v>
      </c>
      <c r="P89" s="40">
        <v>13260</v>
      </c>
      <c r="Q89" s="42">
        <v>44652</v>
      </c>
      <c r="R89" s="42">
        <v>44926</v>
      </c>
      <c r="S89" s="13" t="s">
        <v>400</v>
      </c>
      <c r="T89" s="40" t="s">
        <v>132</v>
      </c>
      <c r="U89" s="13" t="s">
        <v>190</v>
      </c>
      <c r="V89" s="90" t="s">
        <v>132</v>
      </c>
      <c r="W89" s="22" t="s">
        <v>112</v>
      </c>
      <c r="X89" s="13" t="s">
        <v>132</v>
      </c>
      <c r="Y89" s="5" t="s">
        <v>132</v>
      </c>
      <c r="Z89" s="13" t="s">
        <v>132</v>
      </c>
      <c r="AA89" s="13" t="s">
        <v>132</v>
      </c>
      <c r="AB89" s="13" t="s">
        <v>132</v>
      </c>
      <c r="AC89" s="13" t="s">
        <v>132</v>
      </c>
      <c r="AD89" s="13" t="s">
        <v>132</v>
      </c>
      <c r="AE89" s="13" t="s">
        <v>132</v>
      </c>
      <c r="AF89" s="13" t="s">
        <v>132</v>
      </c>
      <c r="AG89" s="90"/>
      <c r="AH89" s="90"/>
      <c r="AI89" s="90"/>
      <c r="AJ89" s="90"/>
      <c r="AK89" s="90"/>
      <c r="AL89" s="126">
        <f t="shared" si="2"/>
        <v>170184.5</v>
      </c>
      <c r="AM89" s="116"/>
      <c r="AN89" s="116">
        <v>6017.5</v>
      </c>
      <c r="AO89" s="110">
        <f t="shared" si="3"/>
        <v>6017.5</v>
      </c>
    </row>
    <row r="90" spans="1:41" s="6" customFormat="1" ht="45" x14ac:dyDescent="0.25">
      <c r="A90" s="21" t="s">
        <v>594</v>
      </c>
      <c r="B90" s="24" t="s">
        <v>605</v>
      </c>
      <c r="C90" s="22" t="s">
        <v>576</v>
      </c>
      <c r="D90" s="51" t="s">
        <v>88</v>
      </c>
      <c r="E90" s="51"/>
      <c r="F90" s="24" t="s">
        <v>497</v>
      </c>
      <c r="G90" s="13" t="s">
        <v>132</v>
      </c>
      <c r="H90" s="50" t="s">
        <v>604</v>
      </c>
      <c r="I90" s="13" t="s">
        <v>132</v>
      </c>
      <c r="J90" s="13" t="s">
        <v>132</v>
      </c>
      <c r="K90" s="55" t="s">
        <v>601</v>
      </c>
      <c r="L90" s="24" t="s">
        <v>602</v>
      </c>
      <c r="M90" s="22" t="s">
        <v>603</v>
      </c>
      <c r="N90" s="42">
        <v>44603</v>
      </c>
      <c r="O90" s="117">
        <v>56125.2</v>
      </c>
      <c r="P90" s="40">
        <v>13229</v>
      </c>
      <c r="Q90" s="42">
        <v>44603</v>
      </c>
      <c r="R90" s="42">
        <v>44926</v>
      </c>
      <c r="S90" s="13" t="s">
        <v>400</v>
      </c>
      <c r="T90" s="40" t="s">
        <v>132</v>
      </c>
      <c r="U90" s="13" t="s">
        <v>190</v>
      </c>
      <c r="V90" s="90" t="s">
        <v>132</v>
      </c>
      <c r="W90" s="22" t="s">
        <v>112</v>
      </c>
      <c r="X90" s="13" t="s">
        <v>132</v>
      </c>
      <c r="Y90" s="5" t="s">
        <v>132</v>
      </c>
      <c r="Z90" s="13" t="s">
        <v>132</v>
      </c>
      <c r="AA90" s="13" t="s">
        <v>132</v>
      </c>
      <c r="AB90" s="13" t="s">
        <v>132</v>
      </c>
      <c r="AC90" s="13" t="s">
        <v>132</v>
      </c>
      <c r="AD90" s="13" t="s">
        <v>132</v>
      </c>
      <c r="AE90" s="13" t="s">
        <v>132</v>
      </c>
      <c r="AF90" s="13" t="s">
        <v>132</v>
      </c>
      <c r="AG90" s="90"/>
      <c r="AH90" s="90"/>
      <c r="AI90" s="90"/>
      <c r="AJ90" s="90"/>
      <c r="AK90" s="90"/>
      <c r="AL90" s="126">
        <f t="shared" si="2"/>
        <v>56125.2</v>
      </c>
      <c r="AM90" s="116"/>
      <c r="AN90" s="116">
        <v>30935</v>
      </c>
      <c r="AO90" s="110">
        <f t="shared" si="3"/>
        <v>30935</v>
      </c>
    </row>
    <row r="91" spans="1:41" s="6" customFormat="1" ht="45" x14ac:dyDescent="0.25">
      <c r="A91" s="56" t="s">
        <v>600</v>
      </c>
      <c r="B91" s="24" t="s">
        <v>516</v>
      </c>
      <c r="C91" s="24" t="s">
        <v>484</v>
      </c>
      <c r="D91" s="51" t="s">
        <v>88</v>
      </c>
      <c r="E91" s="51"/>
      <c r="F91" s="24" t="s">
        <v>497</v>
      </c>
      <c r="G91" s="47" t="s">
        <v>132</v>
      </c>
      <c r="H91" s="50" t="s">
        <v>485</v>
      </c>
      <c r="I91" s="47" t="s">
        <v>132</v>
      </c>
      <c r="J91" s="47" t="s">
        <v>132</v>
      </c>
      <c r="K91" s="55" t="s">
        <v>607</v>
      </c>
      <c r="L91" s="24" t="s">
        <v>608</v>
      </c>
      <c r="M91" s="24" t="s">
        <v>609</v>
      </c>
      <c r="N91" s="34">
        <v>44498</v>
      </c>
      <c r="O91" s="91">
        <v>420</v>
      </c>
      <c r="P91" s="50">
        <v>13176</v>
      </c>
      <c r="Q91" s="34">
        <v>44498</v>
      </c>
      <c r="R91" s="34">
        <v>44561</v>
      </c>
      <c r="S91" s="47" t="s">
        <v>400</v>
      </c>
      <c r="T91" s="40" t="s">
        <v>132</v>
      </c>
      <c r="U91" s="13" t="s">
        <v>190</v>
      </c>
      <c r="V91" s="90" t="s">
        <v>132</v>
      </c>
      <c r="W91" s="22" t="s">
        <v>112</v>
      </c>
      <c r="X91" s="13" t="s">
        <v>132</v>
      </c>
      <c r="Y91" s="5" t="s">
        <v>132</v>
      </c>
      <c r="Z91" s="13" t="s">
        <v>132</v>
      </c>
      <c r="AA91" s="13" t="s">
        <v>132</v>
      </c>
      <c r="AB91" s="13" t="s">
        <v>132</v>
      </c>
      <c r="AC91" s="13" t="s">
        <v>132</v>
      </c>
      <c r="AD91" s="13" t="s">
        <v>132</v>
      </c>
      <c r="AE91" s="13" t="s">
        <v>132</v>
      </c>
      <c r="AF91" s="13" t="s">
        <v>132</v>
      </c>
      <c r="AG91" s="90"/>
      <c r="AH91" s="90"/>
      <c r="AI91" s="90"/>
      <c r="AJ91" s="90"/>
      <c r="AK91" s="90"/>
      <c r="AL91" s="126">
        <f t="shared" si="2"/>
        <v>420</v>
      </c>
      <c r="AM91" s="116"/>
      <c r="AN91" s="116">
        <v>420</v>
      </c>
      <c r="AO91" s="110">
        <f t="shared" si="3"/>
        <v>420</v>
      </c>
    </row>
    <row r="92" spans="1:41" s="6" customFormat="1" ht="45" x14ac:dyDescent="0.25">
      <c r="A92" s="21" t="s">
        <v>606</v>
      </c>
      <c r="B92" s="24" t="s">
        <v>611</v>
      </c>
      <c r="C92" s="22" t="s">
        <v>612</v>
      </c>
      <c r="D92" s="51" t="s">
        <v>88</v>
      </c>
      <c r="E92" s="51"/>
      <c r="F92" s="24" t="s">
        <v>497</v>
      </c>
      <c r="G92" s="13" t="s">
        <v>132</v>
      </c>
      <c r="H92" s="50" t="s">
        <v>596</v>
      </c>
      <c r="I92" s="13" t="s">
        <v>132</v>
      </c>
      <c r="J92" s="13" t="s">
        <v>132</v>
      </c>
      <c r="K92" s="55" t="s">
        <v>613</v>
      </c>
      <c r="L92" s="24" t="s">
        <v>614</v>
      </c>
      <c r="M92" s="22" t="s">
        <v>636</v>
      </c>
      <c r="N92" s="42">
        <v>44650</v>
      </c>
      <c r="O92" s="117">
        <v>539064.9</v>
      </c>
      <c r="P92" s="40">
        <v>13260</v>
      </c>
      <c r="Q92" s="42">
        <v>44651</v>
      </c>
      <c r="R92" s="42">
        <v>44926</v>
      </c>
      <c r="S92" s="47" t="s">
        <v>400</v>
      </c>
      <c r="T92" s="40" t="s">
        <v>132</v>
      </c>
      <c r="U92" s="13" t="s">
        <v>190</v>
      </c>
      <c r="V92" s="90" t="s">
        <v>132</v>
      </c>
      <c r="W92" s="22" t="s">
        <v>112</v>
      </c>
      <c r="X92" s="13" t="s">
        <v>132</v>
      </c>
      <c r="Y92" s="5" t="s">
        <v>132</v>
      </c>
      <c r="Z92" s="13" t="s">
        <v>132</v>
      </c>
      <c r="AA92" s="13" t="s">
        <v>132</v>
      </c>
      <c r="AB92" s="13" t="s">
        <v>132</v>
      </c>
      <c r="AC92" s="13" t="s">
        <v>132</v>
      </c>
      <c r="AD92" s="13" t="s">
        <v>132</v>
      </c>
      <c r="AE92" s="13" t="s">
        <v>132</v>
      </c>
      <c r="AF92" s="13" t="s">
        <v>132</v>
      </c>
      <c r="AG92" s="90"/>
      <c r="AH92" s="90"/>
      <c r="AI92" s="90"/>
      <c r="AJ92" s="90"/>
      <c r="AK92" s="90"/>
      <c r="AL92" s="126">
        <f t="shared" si="2"/>
        <v>539064.9</v>
      </c>
      <c r="AM92" s="116"/>
      <c r="AN92" s="116">
        <v>19915.599999999999</v>
      </c>
      <c r="AO92" s="110">
        <f t="shared" si="3"/>
        <v>19915.599999999999</v>
      </c>
    </row>
    <row r="93" spans="1:41" s="6" customFormat="1" ht="45" x14ac:dyDescent="0.25">
      <c r="A93" s="21" t="s">
        <v>610</v>
      </c>
      <c r="B93" s="24" t="s">
        <v>616</v>
      </c>
      <c r="C93" s="22" t="s">
        <v>612</v>
      </c>
      <c r="D93" s="51" t="s">
        <v>88</v>
      </c>
      <c r="E93" s="51"/>
      <c r="F93" s="24" t="s">
        <v>497</v>
      </c>
      <c r="G93" s="13" t="s">
        <v>132</v>
      </c>
      <c r="H93" s="50" t="s">
        <v>596</v>
      </c>
      <c r="I93" s="13" t="s">
        <v>132</v>
      </c>
      <c r="J93" s="13" t="s">
        <v>132</v>
      </c>
      <c r="K93" s="55" t="s">
        <v>617</v>
      </c>
      <c r="L93" s="24" t="s">
        <v>618</v>
      </c>
      <c r="M93" s="22" t="s">
        <v>216</v>
      </c>
      <c r="N93" s="42">
        <v>44655</v>
      </c>
      <c r="O93" s="117">
        <v>138500</v>
      </c>
      <c r="P93" s="40">
        <v>13260</v>
      </c>
      <c r="Q93" s="42">
        <v>44655</v>
      </c>
      <c r="R93" s="42">
        <v>44926</v>
      </c>
      <c r="S93" s="47" t="s">
        <v>400</v>
      </c>
      <c r="T93" s="40" t="s">
        <v>132</v>
      </c>
      <c r="U93" s="13" t="s">
        <v>190</v>
      </c>
      <c r="V93" s="90" t="s">
        <v>132</v>
      </c>
      <c r="W93" s="22" t="s">
        <v>112</v>
      </c>
      <c r="X93" s="13" t="s">
        <v>132</v>
      </c>
      <c r="Y93" s="5" t="s">
        <v>132</v>
      </c>
      <c r="Z93" s="13" t="s">
        <v>132</v>
      </c>
      <c r="AA93" s="13" t="s">
        <v>132</v>
      </c>
      <c r="AB93" s="13" t="s">
        <v>132</v>
      </c>
      <c r="AC93" s="13" t="s">
        <v>132</v>
      </c>
      <c r="AD93" s="13" t="s">
        <v>132</v>
      </c>
      <c r="AE93" s="13" t="s">
        <v>132</v>
      </c>
      <c r="AF93" s="13" t="s">
        <v>132</v>
      </c>
      <c r="AG93" s="90"/>
      <c r="AH93" s="90"/>
      <c r="AI93" s="90"/>
      <c r="AJ93" s="90"/>
      <c r="AK93" s="90"/>
      <c r="AL93" s="126">
        <f t="shared" si="2"/>
        <v>138500</v>
      </c>
      <c r="AM93" s="116"/>
      <c r="AN93" s="116">
        <f>4732.4+11038</f>
        <v>15770.4</v>
      </c>
      <c r="AO93" s="110">
        <f t="shared" si="3"/>
        <v>15770.4</v>
      </c>
    </row>
    <row r="94" spans="1:41" s="6" customFormat="1" ht="45" x14ac:dyDescent="0.25">
      <c r="A94" s="21" t="s">
        <v>615</v>
      </c>
      <c r="B94" s="24" t="s">
        <v>620</v>
      </c>
      <c r="C94" s="22" t="s">
        <v>612</v>
      </c>
      <c r="D94" s="51" t="s">
        <v>88</v>
      </c>
      <c r="E94" s="51"/>
      <c r="F94" s="24" t="s">
        <v>497</v>
      </c>
      <c r="G94" s="13" t="s">
        <v>132</v>
      </c>
      <c r="H94" s="50" t="s">
        <v>596</v>
      </c>
      <c r="I94" s="13" t="s">
        <v>132</v>
      </c>
      <c r="J94" s="13" t="s">
        <v>132</v>
      </c>
      <c r="K94" s="55" t="s">
        <v>621</v>
      </c>
      <c r="L94" s="24" t="s">
        <v>404</v>
      </c>
      <c r="M94" s="22" t="s">
        <v>405</v>
      </c>
      <c r="N94" s="42">
        <v>44655</v>
      </c>
      <c r="O94" s="117">
        <v>265028</v>
      </c>
      <c r="P94" s="40">
        <v>13260</v>
      </c>
      <c r="Q94" s="42">
        <v>44655</v>
      </c>
      <c r="R94" s="42">
        <v>44926</v>
      </c>
      <c r="S94" s="47" t="s">
        <v>400</v>
      </c>
      <c r="T94" s="40" t="s">
        <v>132</v>
      </c>
      <c r="U94" s="13" t="s">
        <v>190</v>
      </c>
      <c r="V94" s="90" t="s">
        <v>132</v>
      </c>
      <c r="W94" s="22" t="s">
        <v>112</v>
      </c>
      <c r="X94" s="13" t="s">
        <v>132</v>
      </c>
      <c r="Y94" s="5" t="s">
        <v>132</v>
      </c>
      <c r="Z94" s="13" t="s">
        <v>132</v>
      </c>
      <c r="AA94" s="13" t="s">
        <v>132</v>
      </c>
      <c r="AB94" s="13" t="s">
        <v>132</v>
      </c>
      <c r="AC94" s="13" t="s">
        <v>132</v>
      </c>
      <c r="AD94" s="13" t="s">
        <v>132</v>
      </c>
      <c r="AE94" s="13" t="s">
        <v>132</v>
      </c>
      <c r="AF94" s="13" t="s">
        <v>132</v>
      </c>
      <c r="AG94" s="90"/>
      <c r="AH94" s="90"/>
      <c r="AI94" s="90"/>
      <c r="AJ94" s="90"/>
      <c r="AK94" s="90"/>
      <c r="AL94" s="126">
        <f t="shared" si="2"/>
        <v>265028</v>
      </c>
      <c r="AM94" s="116"/>
      <c r="AN94" s="116">
        <f>9647.5+4697.85</f>
        <v>14345.35</v>
      </c>
      <c r="AO94" s="110">
        <f t="shared" si="3"/>
        <v>14345.35</v>
      </c>
    </row>
    <row r="95" spans="1:41" s="6" customFormat="1" ht="45" x14ac:dyDescent="0.25">
      <c r="A95" s="21" t="s">
        <v>619</v>
      </c>
      <c r="B95" s="24" t="s">
        <v>624</v>
      </c>
      <c r="C95" s="22" t="s">
        <v>623</v>
      </c>
      <c r="D95" s="51" t="s">
        <v>88</v>
      </c>
      <c r="E95" s="51"/>
      <c r="F95" s="24" t="s">
        <v>497</v>
      </c>
      <c r="G95" s="13" t="s">
        <v>132</v>
      </c>
      <c r="H95" s="50" t="s">
        <v>397</v>
      </c>
      <c r="I95" s="13" t="s">
        <v>132</v>
      </c>
      <c r="J95" s="13" t="s">
        <v>132</v>
      </c>
      <c r="K95" s="55" t="s">
        <v>625</v>
      </c>
      <c r="L95" s="24" t="s">
        <v>626</v>
      </c>
      <c r="M95" s="22" t="s">
        <v>456</v>
      </c>
      <c r="N95" s="42">
        <v>44648</v>
      </c>
      <c r="O95" s="117">
        <v>369000</v>
      </c>
      <c r="P95" s="40">
        <v>13256</v>
      </c>
      <c r="Q95" s="42">
        <v>44648</v>
      </c>
      <c r="R95" s="42">
        <v>44926</v>
      </c>
      <c r="S95" s="13">
        <v>101</v>
      </c>
      <c r="T95" s="40" t="s">
        <v>132</v>
      </c>
      <c r="U95" s="13" t="s">
        <v>190</v>
      </c>
      <c r="V95" s="90" t="s">
        <v>132</v>
      </c>
      <c r="W95" s="22" t="s">
        <v>113</v>
      </c>
      <c r="X95" s="13" t="s">
        <v>132</v>
      </c>
      <c r="Y95" s="5" t="s">
        <v>132</v>
      </c>
      <c r="Z95" s="13" t="s">
        <v>132</v>
      </c>
      <c r="AA95" s="13" t="s">
        <v>132</v>
      </c>
      <c r="AB95" s="13" t="s">
        <v>132</v>
      </c>
      <c r="AC95" s="13" t="s">
        <v>132</v>
      </c>
      <c r="AD95" s="13" t="s">
        <v>132</v>
      </c>
      <c r="AE95" s="13" t="s">
        <v>132</v>
      </c>
      <c r="AF95" s="13" t="s">
        <v>132</v>
      </c>
      <c r="AG95" s="90"/>
      <c r="AH95" s="90"/>
      <c r="AI95" s="90"/>
      <c r="AJ95" s="90"/>
      <c r="AK95" s="90"/>
      <c r="AL95" s="126">
        <f t="shared" si="2"/>
        <v>369000</v>
      </c>
      <c r="AM95" s="116"/>
      <c r="AN95" s="116">
        <v>57656.25</v>
      </c>
      <c r="AO95" s="110">
        <f t="shared" si="3"/>
        <v>57656.25</v>
      </c>
    </row>
    <row r="96" spans="1:41" s="6" customFormat="1" ht="45" x14ac:dyDescent="0.25">
      <c r="A96" s="21" t="s">
        <v>622</v>
      </c>
      <c r="B96" s="24" t="s">
        <v>616</v>
      </c>
      <c r="C96" s="22" t="s">
        <v>612</v>
      </c>
      <c r="D96" s="51" t="s">
        <v>88</v>
      </c>
      <c r="E96" s="51"/>
      <c r="F96" s="24" t="s">
        <v>497</v>
      </c>
      <c r="G96" s="13" t="s">
        <v>132</v>
      </c>
      <c r="H96" s="50" t="s">
        <v>596</v>
      </c>
      <c r="I96" s="13" t="s">
        <v>132</v>
      </c>
      <c r="J96" s="13" t="s">
        <v>132</v>
      </c>
      <c r="K96" s="55" t="s">
        <v>628</v>
      </c>
      <c r="L96" s="24" t="s">
        <v>629</v>
      </c>
      <c r="M96" s="22" t="s">
        <v>637</v>
      </c>
      <c r="N96" s="42">
        <v>44655</v>
      </c>
      <c r="O96" s="117">
        <v>261965</v>
      </c>
      <c r="P96" s="40">
        <v>13260</v>
      </c>
      <c r="Q96" s="42">
        <v>44655</v>
      </c>
      <c r="R96" s="42">
        <v>44926</v>
      </c>
      <c r="S96" s="47" t="s">
        <v>400</v>
      </c>
      <c r="T96" s="40" t="s">
        <v>132</v>
      </c>
      <c r="U96" s="13" t="s">
        <v>190</v>
      </c>
      <c r="V96" s="90" t="s">
        <v>132</v>
      </c>
      <c r="W96" s="22" t="s">
        <v>112</v>
      </c>
      <c r="X96" s="13" t="s">
        <v>132</v>
      </c>
      <c r="Y96" s="5" t="s">
        <v>132</v>
      </c>
      <c r="Z96" s="13" t="s">
        <v>132</v>
      </c>
      <c r="AA96" s="13" t="s">
        <v>132</v>
      </c>
      <c r="AB96" s="13" t="s">
        <v>132</v>
      </c>
      <c r="AC96" s="13" t="s">
        <v>132</v>
      </c>
      <c r="AD96" s="13" t="s">
        <v>132</v>
      </c>
      <c r="AE96" s="13" t="s">
        <v>132</v>
      </c>
      <c r="AF96" s="13" t="s">
        <v>132</v>
      </c>
      <c r="AG96" s="90"/>
      <c r="AH96" s="90"/>
      <c r="AI96" s="90"/>
      <c r="AJ96" s="90"/>
      <c r="AK96" s="90"/>
      <c r="AL96" s="126">
        <f t="shared" si="2"/>
        <v>261965</v>
      </c>
      <c r="AM96" s="116"/>
      <c r="AN96" s="116">
        <v>25850</v>
      </c>
      <c r="AO96" s="110">
        <f t="shared" si="3"/>
        <v>25850</v>
      </c>
    </row>
    <row r="97" spans="1:41" s="6" customFormat="1" ht="45" x14ac:dyDescent="0.25">
      <c r="A97" s="21" t="s">
        <v>627</v>
      </c>
      <c r="B97" s="24" t="s">
        <v>634</v>
      </c>
      <c r="C97" s="22" t="s">
        <v>576</v>
      </c>
      <c r="D97" s="51" t="s">
        <v>88</v>
      </c>
      <c r="E97" s="51"/>
      <c r="F97" s="24" t="s">
        <v>497</v>
      </c>
      <c r="G97" s="13" t="s">
        <v>132</v>
      </c>
      <c r="H97" s="50" t="s">
        <v>633</v>
      </c>
      <c r="I97" s="13" t="s">
        <v>132</v>
      </c>
      <c r="J97" s="13" t="s">
        <v>132</v>
      </c>
      <c r="K97" s="55" t="s">
        <v>631</v>
      </c>
      <c r="L97" s="24" t="s">
        <v>632</v>
      </c>
      <c r="M97" s="22" t="s">
        <v>638</v>
      </c>
      <c r="N97" s="42">
        <v>44603</v>
      </c>
      <c r="O97" s="117">
        <v>45082.1</v>
      </c>
      <c r="P97" s="40">
        <v>13235</v>
      </c>
      <c r="Q97" s="42">
        <v>44603</v>
      </c>
      <c r="R97" s="42">
        <v>44926</v>
      </c>
      <c r="S97" s="47" t="s">
        <v>400</v>
      </c>
      <c r="T97" s="40" t="s">
        <v>132</v>
      </c>
      <c r="U97" s="13" t="s">
        <v>190</v>
      </c>
      <c r="V97" s="90" t="s">
        <v>132</v>
      </c>
      <c r="W97" s="22" t="s">
        <v>112</v>
      </c>
      <c r="X97" s="13" t="s">
        <v>132</v>
      </c>
      <c r="Y97" s="5" t="s">
        <v>132</v>
      </c>
      <c r="Z97" s="13" t="s">
        <v>132</v>
      </c>
      <c r="AA97" s="13" t="s">
        <v>132</v>
      </c>
      <c r="AB97" s="13" t="s">
        <v>132</v>
      </c>
      <c r="AC97" s="13" t="s">
        <v>132</v>
      </c>
      <c r="AD97" s="13" t="s">
        <v>132</v>
      </c>
      <c r="AE97" s="13" t="s">
        <v>132</v>
      </c>
      <c r="AF97" s="13" t="s">
        <v>132</v>
      </c>
      <c r="AG97" s="90"/>
      <c r="AH97" s="90"/>
      <c r="AI97" s="90"/>
      <c r="AJ97" s="90"/>
      <c r="AK97" s="90"/>
      <c r="AL97" s="126">
        <f t="shared" si="2"/>
        <v>45082.1</v>
      </c>
      <c r="AM97" s="116"/>
      <c r="AN97" s="116">
        <f>12852+2440</f>
        <v>15292</v>
      </c>
      <c r="AO97" s="110">
        <f t="shared" si="3"/>
        <v>15292</v>
      </c>
    </row>
    <row r="98" spans="1:41" s="6" customFormat="1" ht="30.75" thickBot="1" x14ac:dyDescent="0.3">
      <c r="A98" s="93" t="s">
        <v>630</v>
      </c>
      <c r="B98" s="37"/>
      <c r="C98" s="37"/>
      <c r="D98" s="94"/>
      <c r="E98" s="94"/>
      <c r="F98" s="37"/>
      <c r="G98" s="95"/>
      <c r="H98" s="96"/>
      <c r="I98" s="97"/>
      <c r="J98" s="97"/>
      <c r="K98" s="118"/>
      <c r="L98" s="37" t="s">
        <v>277</v>
      </c>
      <c r="M98" s="37"/>
      <c r="N98" s="97"/>
      <c r="O98" s="119"/>
      <c r="P98" s="96"/>
      <c r="Q98" s="97"/>
      <c r="R98" s="97"/>
      <c r="S98" s="94"/>
      <c r="T98" s="43"/>
      <c r="U98" s="43"/>
      <c r="V98" s="98"/>
      <c r="W98" s="43"/>
      <c r="X98" s="43"/>
      <c r="Y98" s="10"/>
      <c r="Z98" s="43"/>
      <c r="AA98" s="43"/>
      <c r="AB98" s="43"/>
      <c r="AC98" s="52"/>
      <c r="AD98" s="52"/>
      <c r="AE98" s="43"/>
      <c r="AF98" s="43"/>
      <c r="AG98" s="98"/>
      <c r="AH98" s="98"/>
      <c r="AI98" s="98"/>
      <c r="AJ98" s="98"/>
      <c r="AK98" s="98"/>
      <c r="AL98" s="126">
        <f t="shared" si="2"/>
        <v>0</v>
      </c>
      <c r="AM98" s="120">
        <f>1282504.62+40640.35+4237.1+3461.3+19037.15+1730.65+1730.65+2312.9+28767.7+84186.66+17784.19+70047.34+5000+1450+7650+7331.2+35402.6+58700-63.08+935.48+13844.46+1870.96+5935.48+1870.96+12000+28767.7+71535.47+1450+6309.68+57670.97+7190.88+37050.61+16443.54+68460+12000+28767.7+74401.32+5000+49836.46+5921.8+1450+29201.02+51894.37+16782.26+78589.99+2016.5+662.5+1225.17+2300.07+850.32+28767.7+13400+2900+23582.7+2900+36150+24250+14512.25+12000+42.62+12000+28767.7+79341.91+3134.96+664.26+3523.53+379.01+2084.64+21707.85+34650+13400+2900+2900+23815+5090.99+3524.17+2432.67+2432.67+2432.67+2432.67+3614.54+4303.7+4303.7+4303.7+2432.67+3524.17+2432.67+2432.67+2264.9+2432.67+3524.17+2432.67+2432.67+2494.68+2494.68+2432.67+1099.12+2264.9+2432.67+3523.64+3524.17+2494.68+2432.67+4303.7+3524.17+334.63+3524.17+3524.17+3524.17+2432.67+2432.67+3614.54+2432.67+4648.28+1500+2900+2900+33035+13400+20601.5+19900+1500+12000+160372.99+1450+10526.5+10708.31+18666.64+1570.83+6700+7544.86+2873.4+4146.96+33565.75+4146.96+16890.42+5730.97+2862.85+2532.84+710.63+2665.42+4141.67+4930.01+1769.82+28767.7+6.27</f>
        <v>3311209.8899999987</v>
      </c>
      <c r="AN98" s="120">
        <f>19900+2900+32600+19161.64+13400+2900+3335.5+2495.31+2253.65+1341.98+78635.46+12000+28767.7+12000+28767.7+59548.54+2981.2+19161.64+17227.19+2900+31150+13400+2356.56+83.13+12000+28767.7+69119.14+2991.35+2900+15550+13400+19192.1+29050+3102.44+3102.44+3102.44+1297.48+78144.2+12000+28767.7+15498.21+19202.25+29050+13400+2900+3042.1+166.26+12000+28767.7+86510+83.13+2056.13+756.94+2056.13+2056.13+18382.68+10041.91+1496.77+935.48+16357.09+12654.84+2068.29+2068.29+28767.78+12000</f>
        <v>1054072.2999999998</v>
      </c>
      <c r="AO98" s="110">
        <f t="shared" si="3"/>
        <v>4365282.1899999985</v>
      </c>
    </row>
    <row r="99" spans="1:41" ht="15.75" thickBot="1" x14ac:dyDescent="0.3">
      <c r="A99" s="99" t="s">
        <v>640</v>
      </c>
      <c r="B99" s="100"/>
      <c r="C99" s="100"/>
      <c r="D99" s="100"/>
      <c r="E99" s="100"/>
      <c r="F99" s="100"/>
      <c r="G99" s="101"/>
      <c r="H99" s="101"/>
      <c r="I99" s="101"/>
      <c r="J99" s="101"/>
      <c r="K99" s="101"/>
      <c r="L99" s="102"/>
      <c r="M99" s="101"/>
      <c r="N99" s="101"/>
      <c r="O99" s="103">
        <f>SUM(O20:O98)</f>
        <v>26469172.139999993</v>
      </c>
      <c r="P99" s="104"/>
      <c r="Q99" s="104"/>
      <c r="R99" s="104"/>
      <c r="S99" s="104"/>
      <c r="T99" s="101"/>
      <c r="U99" s="104"/>
      <c r="V99" s="103">
        <f>SUM(V20:V98)</f>
        <v>0</v>
      </c>
      <c r="W99" s="104"/>
      <c r="X99" s="104"/>
      <c r="Y99" s="101"/>
      <c r="Z99" s="105"/>
      <c r="AA99" s="104"/>
      <c r="AB99" s="104"/>
      <c r="AC99" s="106"/>
      <c r="AD99" s="106"/>
      <c r="AE99" s="104"/>
      <c r="AF99" s="104"/>
      <c r="AG99" s="103">
        <f>SUM(AG19:AG19)</f>
        <v>0</v>
      </c>
      <c r="AH99" s="103">
        <f>SUM(AH19:AH19)</f>
        <v>0</v>
      </c>
      <c r="AI99" s="103"/>
      <c r="AJ99" s="103"/>
      <c r="AK99" s="103"/>
      <c r="AL99" s="107">
        <f>SUM(AL19:AL98)</f>
        <v>26469321.919999994</v>
      </c>
      <c r="AM99" s="107">
        <f>SUM(AM19:AM98)</f>
        <v>12353356.969999999</v>
      </c>
      <c r="AN99" s="107">
        <f>SUM(AN19:AN98)</f>
        <v>6515548.3799999999</v>
      </c>
      <c r="AO99" s="107">
        <f>SUM(AO19:AO98)</f>
        <v>18868905.349999998</v>
      </c>
    </row>
    <row r="101" spans="1:41" s="59" customFormat="1" ht="15.75" x14ac:dyDescent="0.25">
      <c r="A101" s="59" t="s">
        <v>644</v>
      </c>
      <c r="K101" s="128"/>
      <c r="M101" s="122"/>
      <c r="O101" s="124"/>
      <c r="V101" s="124"/>
      <c r="Y101" s="122"/>
      <c r="AG101" s="124"/>
      <c r="AH101" s="124"/>
      <c r="AI101" s="124"/>
      <c r="AJ101" s="124"/>
      <c r="AK101" s="124"/>
      <c r="AL101" s="124"/>
    </row>
    <row r="102" spans="1:41" s="59" customFormat="1" ht="15.75" x14ac:dyDescent="0.25">
      <c r="A102" s="59" t="s">
        <v>645</v>
      </c>
      <c r="K102" s="129"/>
      <c r="O102" s="124"/>
      <c r="V102" s="124"/>
      <c r="Y102" s="122"/>
      <c r="AG102" s="124"/>
      <c r="AH102" s="124"/>
      <c r="AI102" s="124"/>
      <c r="AJ102" s="124"/>
      <c r="AK102" s="124"/>
      <c r="AL102" s="124"/>
    </row>
    <row r="103" spans="1:41" x14ac:dyDescent="0.25">
      <c r="B103" s="15"/>
      <c r="C103" s="14"/>
      <c r="D103" s="14"/>
      <c r="E103" s="14"/>
      <c r="F103" s="14"/>
      <c r="G103" s="16"/>
      <c r="H103" s="16"/>
      <c r="I103" s="16"/>
      <c r="J103" s="16"/>
      <c r="K103" s="84"/>
      <c r="M103" s="7"/>
    </row>
    <row r="104" spans="1:41" x14ac:dyDescent="0.25">
      <c r="B104" s="15"/>
      <c r="C104" s="14"/>
      <c r="D104" s="14"/>
      <c r="E104" s="14"/>
      <c r="F104" s="14"/>
      <c r="G104" s="6"/>
      <c r="H104" s="6"/>
      <c r="I104" s="6"/>
      <c r="J104" s="6"/>
      <c r="K104" s="84"/>
      <c r="M104" s="7"/>
    </row>
    <row r="105" spans="1:41" x14ac:dyDescent="0.25">
      <c r="B105" s="15"/>
      <c r="C105" s="14"/>
      <c r="D105" s="14"/>
      <c r="E105" s="14"/>
      <c r="F105" s="14"/>
      <c r="G105" s="6"/>
      <c r="H105" s="6"/>
      <c r="I105" s="6"/>
      <c r="J105" s="6"/>
      <c r="K105" s="84"/>
      <c r="M105" s="7"/>
    </row>
    <row r="106" spans="1:41" x14ac:dyDescent="0.25">
      <c r="B106" s="15"/>
      <c r="C106" s="6"/>
      <c r="D106" s="6"/>
      <c r="E106" s="6"/>
      <c r="F106" s="6"/>
      <c r="G106" s="17"/>
      <c r="H106" s="17"/>
      <c r="I106" s="17"/>
      <c r="J106" s="17"/>
      <c r="K106" s="84"/>
      <c r="M106" s="7"/>
    </row>
    <row r="107" spans="1:41" x14ac:dyDescent="0.25">
      <c r="B107" s="15"/>
      <c r="C107" s="16"/>
      <c r="D107" s="16"/>
      <c r="E107" s="16"/>
      <c r="F107" s="16"/>
      <c r="G107" s="6"/>
      <c r="H107" s="6"/>
      <c r="I107" s="6"/>
      <c r="J107" s="6"/>
      <c r="K107" s="84"/>
      <c r="M107" s="7"/>
    </row>
    <row r="108" spans="1:41" x14ac:dyDescent="0.25">
      <c r="B108" s="15"/>
      <c r="C108" s="6"/>
      <c r="D108" s="6"/>
      <c r="E108" s="6"/>
      <c r="F108" s="6"/>
      <c r="G108" s="6"/>
      <c r="H108" s="6"/>
      <c r="I108" s="6"/>
      <c r="J108" s="6"/>
      <c r="K108" s="84"/>
      <c r="M108" s="7"/>
    </row>
    <row r="109" spans="1:41" x14ac:dyDescent="0.25">
      <c r="B109" s="15"/>
      <c r="C109" s="6"/>
      <c r="D109" s="6"/>
      <c r="E109" s="6"/>
      <c r="F109" s="6"/>
      <c r="G109" s="6"/>
      <c r="H109" s="6"/>
      <c r="I109" s="6"/>
      <c r="J109" s="6"/>
      <c r="K109" s="84"/>
      <c r="M109" s="7"/>
    </row>
    <row r="110" spans="1:41" x14ac:dyDescent="0.25">
      <c r="B110" s="18"/>
      <c r="C110" s="17"/>
      <c r="D110" s="17"/>
      <c r="E110" s="17"/>
      <c r="F110" s="17"/>
      <c r="G110" s="6"/>
      <c r="H110" s="6"/>
      <c r="I110" s="6"/>
      <c r="J110" s="6"/>
      <c r="K110" s="84"/>
      <c r="M110" s="7"/>
    </row>
    <row r="111" spans="1:41" x14ac:dyDescent="0.25">
      <c r="B111" s="15"/>
      <c r="C111" s="6"/>
      <c r="D111" s="6"/>
      <c r="E111" s="6"/>
      <c r="F111" s="6"/>
      <c r="G111" s="6"/>
      <c r="H111" s="6"/>
      <c r="I111" s="6"/>
      <c r="J111" s="6"/>
      <c r="K111" s="84"/>
      <c r="M111" s="7"/>
    </row>
    <row r="112" spans="1:41" x14ac:dyDescent="0.25">
      <c r="B112" s="15"/>
      <c r="C112" s="14"/>
      <c r="D112" s="14"/>
      <c r="E112" s="14"/>
      <c r="F112" s="14"/>
      <c r="G112" s="6"/>
      <c r="H112" s="6"/>
      <c r="I112" s="6"/>
      <c r="J112" s="6"/>
      <c r="K112" s="84"/>
      <c r="M112" s="7"/>
    </row>
    <row r="113" spans="2:13" x14ac:dyDescent="0.25">
      <c r="B113" s="15"/>
      <c r="C113" s="14"/>
      <c r="D113" s="14"/>
      <c r="E113" s="14"/>
      <c r="F113" s="14"/>
      <c r="G113" s="17"/>
      <c r="H113" s="17"/>
      <c r="I113" s="17"/>
      <c r="J113" s="17"/>
      <c r="K113" s="84"/>
      <c r="M113" s="7"/>
    </row>
    <row r="114" spans="2:13" x14ac:dyDescent="0.25">
      <c r="B114" s="15"/>
      <c r="C114" s="6"/>
      <c r="D114" s="6"/>
      <c r="E114" s="6"/>
      <c r="F114" s="6"/>
      <c r="G114" s="6"/>
      <c r="H114" s="6"/>
      <c r="I114" s="6"/>
      <c r="J114" s="6"/>
      <c r="K114" s="84"/>
      <c r="M114" s="7"/>
    </row>
    <row r="115" spans="2:13" x14ac:dyDescent="0.25">
      <c r="B115" s="15"/>
      <c r="C115" s="6"/>
      <c r="D115" s="6"/>
      <c r="E115" s="6"/>
      <c r="F115" s="6"/>
      <c r="G115" s="6"/>
      <c r="H115" s="6"/>
      <c r="I115" s="6"/>
      <c r="J115" s="6"/>
      <c r="K115" s="84"/>
      <c r="M115" s="7"/>
    </row>
    <row r="116" spans="2:13" x14ac:dyDescent="0.25">
      <c r="B116" s="15"/>
      <c r="C116" s="6"/>
      <c r="D116" s="6"/>
      <c r="E116" s="6"/>
      <c r="F116" s="6"/>
      <c r="G116" s="6"/>
      <c r="H116" s="6"/>
      <c r="I116" s="6"/>
      <c r="J116" s="6"/>
      <c r="K116" s="84"/>
      <c r="M116" s="7"/>
    </row>
    <row r="117" spans="2:13" x14ac:dyDescent="0.25">
      <c r="B117" s="18"/>
      <c r="C117" s="17"/>
      <c r="D117" s="17"/>
      <c r="E117" s="17"/>
      <c r="F117" s="17"/>
      <c r="G117" s="6"/>
      <c r="H117" s="6"/>
      <c r="I117" s="6"/>
      <c r="J117" s="6"/>
      <c r="K117" s="84"/>
      <c r="M117" s="7"/>
    </row>
    <row r="118" spans="2:13" x14ac:dyDescent="0.25">
      <c r="B118" s="15"/>
      <c r="C118" s="6"/>
      <c r="D118" s="6"/>
      <c r="E118" s="6"/>
      <c r="F118" s="6"/>
      <c r="G118" s="6"/>
      <c r="H118" s="6"/>
      <c r="I118" s="6"/>
      <c r="J118" s="6"/>
      <c r="K118" s="84"/>
      <c r="M118" s="7"/>
    </row>
    <row r="119" spans="2:13" x14ac:dyDescent="0.25">
      <c r="B119" s="15"/>
      <c r="C119" s="6"/>
      <c r="D119" s="6"/>
      <c r="E119" s="6"/>
      <c r="F119" s="6"/>
      <c r="G119" s="6"/>
      <c r="H119" s="6"/>
      <c r="I119" s="6"/>
      <c r="J119" s="6"/>
      <c r="K119" s="84"/>
      <c r="M119" s="7"/>
    </row>
    <row r="120" spans="2:13" x14ac:dyDescent="0.25">
      <c r="B120" s="15"/>
      <c r="C120" s="6"/>
      <c r="D120" s="6"/>
      <c r="E120" s="6"/>
      <c r="F120" s="6"/>
      <c r="G120" s="17"/>
      <c r="H120" s="17"/>
      <c r="I120" s="17"/>
      <c r="J120" s="17"/>
      <c r="K120" s="84"/>
      <c r="M120" s="7"/>
    </row>
    <row r="121" spans="2:13" x14ac:dyDescent="0.25">
      <c r="B121" s="15"/>
      <c r="C121" s="6"/>
      <c r="D121" s="6"/>
      <c r="E121" s="6"/>
      <c r="F121" s="6"/>
      <c r="G121" s="19"/>
      <c r="H121" s="19"/>
      <c r="I121" s="19"/>
      <c r="J121" s="19"/>
      <c r="K121" s="84"/>
      <c r="M121" s="7"/>
    </row>
    <row r="122" spans="2:13" x14ac:dyDescent="0.25">
      <c r="B122" s="15"/>
      <c r="C122" s="6"/>
      <c r="D122" s="6"/>
      <c r="E122" s="6"/>
      <c r="F122" s="6"/>
      <c r="G122" s="6"/>
      <c r="H122" s="6"/>
      <c r="I122" s="6"/>
      <c r="J122" s="6"/>
      <c r="K122" s="84"/>
      <c r="M122" s="7"/>
    </row>
    <row r="123" spans="2:13" x14ac:dyDescent="0.25">
      <c r="B123" s="15"/>
      <c r="C123" s="6"/>
      <c r="D123" s="6"/>
      <c r="E123" s="6"/>
      <c r="F123" s="6"/>
      <c r="G123" s="6"/>
      <c r="H123" s="6"/>
      <c r="I123" s="6"/>
      <c r="J123" s="6"/>
      <c r="K123" s="84"/>
      <c r="M123" s="7"/>
    </row>
    <row r="124" spans="2:13" x14ac:dyDescent="0.25">
      <c r="B124" s="18"/>
      <c r="C124" s="17"/>
      <c r="D124" s="17"/>
      <c r="E124" s="17"/>
      <c r="F124" s="17"/>
      <c r="G124" s="6"/>
      <c r="H124" s="6"/>
      <c r="I124" s="6"/>
      <c r="J124" s="6"/>
      <c r="K124" s="84"/>
      <c r="M124" s="7"/>
    </row>
    <row r="125" spans="2:13" x14ac:dyDescent="0.25">
      <c r="B125" s="15"/>
      <c r="C125" s="19"/>
      <c r="D125" s="19"/>
      <c r="E125" s="19"/>
      <c r="F125" s="19"/>
      <c r="G125" s="6"/>
      <c r="H125" s="6"/>
      <c r="I125" s="6"/>
      <c r="J125" s="6"/>
      <c r="K125" s="84"/>
      <c r="M125" s="7"/>
    </row>
    <row r="126" spans="2:13" x14ac:dyDescent="0.25">
      <c r="B126" s="15"/>
      <c r="C126" s="6"/>
      <c r="D126" s="6"/>
      <c r="E126" s="6"/>
      <c r="F126" s="6"/>
      <c r="G126" s="6"/>
      <c r="H126" s="6"/>
      <c r="I126" s="6"/>
      <c r="J126" s="6"/>
      <c r="K126" s="84"/>
      <c r="M126" s="7"/>
    </row>
    <row r="127" spans="2:13" x14ac:dyDescent="0.25">
      <c r="B127" s="15"/>
      <c r="C127" s="6"/>
      <c r="D127" s="6"/>
      <c r="E127" s="6"/>
      <c r="F127" s="6"/>
      <c r="G127" s="6"/>
      <c r="H127" s="6"/>
      <c r="I127" s="6"/>
      <c r="J127" s="6"/>
      <c r="K127" s="84"/>
      <c r="M127" s="7"/>
    </row>
    <row r="128" spans="2:13" x14ac:dyDescent="0.25">
      <c r="B128" s="15"/>
      <c r="C128" s="6"/>
      <c r="D128" s="6"/>
      <c r="E128" s="6"/>
      <c r="F128" s="6"/>
      <c r="G128" s="6"/>
      <c r="H128" s="6"/>
      <c r="I128" s="6"/>
      <c r="J128" s="6"/>
      <c r="K128" s="84"/>
      <c r="M128" s="7"/>
    </row>
    <row r="129" spans="2:13" x14ac:dyDescent="0.25">
      <c r="B129" s="15"/>
      <c r="C129" s="6"/>
      <c r="D129" s="6"/>
      <c r="E129" s="6"/>
      <c r="F129" s="6"/>
      <c r="K129" s="84"/>
      <c r="M129" s="7"/>
    </row>
    <row r="130" spans="2:13" x14ac:dyDescent="0.25">
      <c r="B130" s="15"/>
      <c r="C130" s="6"/>
      <c r="D130" s="6"/>
      <c r="E130" s="6"/>
      <c r="F130" s="6"/>
      <c r="G130" s="16"/>
      <c r="H130" s="16"/>
      <c r="I130" s="16"/>
      <c r="J130" s="16"/>
      <c r="K130" s="84"/>
      <c r="M130" s="7"/>
    </row>
    <row r="131" spans="2:13" x14ac:dyDescent="0.25">
      <c r="B131" s="15"/>
      <c r="C131" s="6"/>
      <c r="D131" s="6"/>
      <c r="E131" s="6"/>
      <c r="F131" s="6"/>
      <c r="G131" s="6"/>
      <c r="H131" s="6"/>
      <c r="I131" s="6"/>
      <c r="J131" s="6"/>
      <c r="K131" s="84"/>
      <c r="M131" s="7"/>
    </row>
    <row r="132" spans="2:13" x14ac:dyDescent="0.25">
      <c r="B132" s="15"/>
      <c r="C132" s="6"/>
      <c r="D132" s="6"/>
      <c r="E132" s="6"/>
      <c r="F132" s="6"/>
      <c r="K132" s="84"/>
      <c r="M132" s="7"/>
    </row>
    <row r="133" spans="2:13" x14ac:dyDescent="0.25">
      <c r="B133" s="15"/>
      <c r="K133" s="84"/>
      <c r="M133" s="7"/>
    </row>
    <row r="134" spans="2:13" x14ac:dyDescent="0.25">
      <c r="B134" s="20"/>
      <c r="C134" s="16"/>
      <c r="D134" s="16"/>
      <c r="E134" s="16"/>
      <c r="F134" s="16"/>
      <c r="K134" s="84"/>
      <c r="M134" s="7"/>
    </row>
    <row r="135" spans="2:13" x14ac:dyDescent="0.25">
      <c r="B135" s="15"/>
      <c r="C135" s="6"/>
      <c r="D135" s="6"/>
      <c r="E135" s="6"/>
      <c r="F135" s="6"/>
      <c r="K135" s="84"/>
      <c r="M135" s="7"/>
    </row>
  </sheetData>
  <mergeCells count="22">
    <mergeCell ref="A15:A19"/>
    <mergeCell ref="K16:W17"/>
    <mergeCell ref="X17:AB17"/>
    <mergeCell ref="AC17:AD17"/>
    <mergeCell ref="AE17:AH17"/>
    <mergeCell ref="K15:AO15"/>
    <mergeCell ref="I17:J17"/>
    <mergeCell ref="H17:H18"/>
    <mergeCell ref="H16:J16"/>
    <mergeCell ref="B15:G17"/>
    <mergeCell ref="AI16:AK16"/>
    <mergeCell ref="AI17:AK17"/>
    <mergeCell ref="AL16:AO16"/>
    <mergeCell ref="X16:AH16"/>
    <mergeCell ref="AM17:AO17"/>
    <mergeCell ref="A12:B12"/>
    <mergeCell ref="A99:F99"/>
    <mergeCell ref="C104:F104"/>
    <mergeCell ref="C105:F105"/>
    <mergeCell ref="C112:F112"/>
    <mergeCell ref="C113:F113"/>
    <mergeCell ref="C103:F103"/>
  </mergeCells>
  <phoneticPr fontId="3" type="noConversion"/>
  <pageMargins left="0.51181102362204722" right="0.51181102362204722" top="0.78740157480314965" bottom="0.78740157480314965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FMAS LICITAÇÕES MAI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</cp:lastModifiedBy>
  <cp:lastPrinted>2017-01-12T16:09:07Z</cp:lastPrinted>
  <dcterms:created xsi:type="dcterms:W3CDTF">2013-10-11T22:10:57Z</dcterms:created>
  <dcterms:modified xsi:type="dcterms:W3CDTF">2023-01-05T20:00:58Z</dcterms:modified>
</cp:coreProperties>
</file>