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73"/>
  </bookViews>
  <sheets>
    <sheet name="FMAS LICITAÇÕES JUN 2022" sheetId="1" r:id="rId1"/>
  </sheets>
  <definedNames>
    <definedName name="_xlnm._FilterDatabase" localSheetId="0" hidden="1">'FMAS LICITAÇÕES JUN 2022'!#REF!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07" i="1" l="1"/>
  <c r="AM107" i="1"/>
  <c r="AL107" i="1"/>
  <c r="AL19" i="1"/>
  <c r="O107" i="1"/>
  <c r="AH107" i="1" l="1"/>
  <c r="AG107" i="1"/>
  <c r="AO40" i="1"/>
  <c r="AO48" i="1"/>
  <c r="AO52" i="1"/>
  <c r="AO58" i="1"/>
  <c r="AO70" i="1"/>
  <c r="AO72" i="1"/>
  <c r="AO73" i="1"/>
  <c r="AO76" i="1"/>
  <c r="AO77" i="1"/>
  <c r="AO78" i="1"/>
  <c r="AO88" i="1"/>
  <c r="AO89" i="1"/>
  <c r="AO90" i="1"/>
  <c r="AO95" i="1"/>
  <c r="AO97" i="1"/>
  <c r="AO98" i="1"/>
  <c r="AO100" i="1"/>
  <c r="AO101" i="1"/>
  <c r="AO102" i="1"/>
  <c r="AO104" i="1"/>
  <c r="AO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N34" i="1" l="1"/>
  <c r="AN36" i="1"/>
  <c r="AN105" i="1"/>
  <c r="AO105" i="1" s="1"/>
  <c r="AN106" i="1"/>
  <c r="AN82" i="1"/>
  <c r="AO82" i="1" s="1"/>
  <c r="AN94" i="1"/>
  <c r="AO94" i="1" s="1"/>
  <c r="AN20" i="1"/>
  <c r="AN91" i="1"/>
  <c r="AO91" i="1" s="1"/>
  <c r="AN86" i="1"/>
  <c r="AO86" i="1" s="1"/>
  <c r="AN79" i="1"/>
  <c r="AO79" i="1" s="1"/>
  <c r="AN35" i="1"/>
  <c r="AN74" i="1"/>
  <c r="AO74" i="1" s="1"/>
  <c r="AN29" i="1"/>
  <c r="AN103" i="1"/>
  <c r="AO103" i="1" s="1"/>
  <c r="AN75" i="1"/>
  <c r="AO75" i="1" s="1"/>
  <c r="AN83" i="1"/>
  <c r="AO83" i="1" s="1"/>
  <c r="AN64" i="1"/>
  <c r="AN55" i="1"/>
  <c r="AN99" i="1"/>
  <c r="AO99" i="1" s="1"/>
  <c r="AN56" i="1"/>
  <c r="AN49" i="1"/>
  <c r="AO49" i="1" s="1"/>
  <c r="AN50" i="1"/>
  <c r="AO50" i="1" s="1"/>
  <c r="AN41" i="1"/>
  <c r="AN37" i="1"/>
  <c r="AN47" i="1"/>
  <c r="AN21" i="1"/>
  <c r="AN28" i="1"/>
  <c r="AN92" i="1"/>
  <c r="AO92" i="1" s="1"/>
  <c r="AN30" i="1"/>
  <c r="AN31" i="1"/>
  <c r="AN32" i="1"/>
  <c r="AN33" i="1"/>
  <c r="AN42" i="1"/>
  <c r="AN24" i="1"/>
  <c r="AN25" i="1"/>
  <c r="AN44" i="1"/>
  <c r="AN45" i="1"/>
  <c r="AN68" i="1"/>
  <c r="AN59" i="1"/>
  <c r="AN43" i="1"/>
  <c r="AN96" i="1"/>
  <c r="AO96" i="1" s="1"/>
  <c r="AN93" i="1"/>
  <c r="AO93" i="1" s="1"/>
  <c r="AN69" i="1"/>
  <c r="AN87" i="1" l="1"/>
  <c r="AO87" i="1" s="1"/>
  <c r="AN66" i="1"/>
  <c r="AN85" i="1"/>
  <c r="AO85" i="1" s="1"/>
  <c r="AN84" i="1"/>
  <c r="AO84" i="1" s="1"/>
  <c r="AN53" i="1"/>
  <c r="AN23" i="1"/>
  <c r="AN81" i="1"/>
  <c r="AO81" i="1" s="1"/>
  <c r="AN80" i="1"/>
  <c r="AO80" i="1" s="1"/>
  <c r="AN63" i="1" l="1"/>
  <c r="AN60" i="1" l="1"/>
  <c r="AN67" i="1"/>
  <c r="AN62" i="1"/>
  <c r="AO62" i="1" s="1"/>
  <c r="AN61" i="1"/>
  <c r="AN71" i="1"/>
  <c r="AO71" i="1" s="1"/>
  <c r="AN38" i="1"/>
  <c r="AM106" i="1"/>
  <c r="AO106" i="1" s="1"/>
  <c r="AM69" i="1"/>
  <c r="AO69" i="1" s="1"/>
  <c r="AM68" i="1"/>
  <c r="AO68" i="1" s="1"/>
  <c r="AM67" i="1"/>
  <c r="AO67" i="1" s="1"/>
  <c r="AM66" i="1"/>
  <c r="AO66" i="1" s="1"/>
  <c r="AM65" i="1"/>
  <c r="AO65" i="1" s="1"/>
  <c r="AM64" i="1"/>
  <c r="AO64" i="1" s="1"/>
  <c r="AM63" i="1"/>
  <c r="AO63" i="1" s="1"/>
  <c r="AM61" i="1"/>
  <c r="AO61" i="1" s="1"/>
  <c r="AM60" i="1"/>
  <c r="AM59" i="1"/>
  <c r="AO59" i="1" s="1"/>
  <c r="AM57" i="1"/>
  <c r="AO57" i="1" s="1"/>
  <c r="AM56" i="1"/>
  <c r="AO56" i="1" s="1"/>
  <c r="AM55" i="1"/>
  <c r="AO55" i="1" s="1"/>
  <c r="AM54" i="1"/>
  <c r="AO54" i="1" s="1"/>
  <c r="AM53" i="1"/>
  <c r="AO53" i="1" s="1"/>
  <c r="AM51" i="1"/>
  <c r="AO51" i="1" s="1"/>
  <c r="AM47" i="1"/>
  <c r="AO47" i="1" s="1"/>
  <c r="AM46" i="1"/>
  <c r="AO46" i="1" s="1"/>
  <c r="AM45" i="1"/>
  <c r="AO45" i="1" s="1"/>
  <c r="AM44" i="1"/>
  <c r="AO44" i="1" s="1"/>
  <c r="AM43" i="1"/>
  <c r="AO43" i="1" s="1"/>
  <c r="AM42" i="1"/>
  <c r="AO42" i="1" s="1"/>
  <c r="AM41" i="1"/>
  <c r="AO41" i="1" s="1"/>
  <c r="AM39" i="1"/>
  <c r="AO39" i="1" s="1"/>
  <c r="AM38" i="1"/>
  <c r="AO38" i="1" s="1"/>
  <c r="AM37" i="1"/>
  <c r="AO37" i="1" s="1"/>
  <c r="AM36" i="1"/>
  <c r="AO36" i="1" s="1"/>
  <c r="AM35" i="1"/>
  <c r="AO35" i="1" s="1"/>
  <c r="AM34" i="1"/>
  <c r="AO34" i="1" s="1"/>
  <c r="AM33" i="1"/>
  <c r="AO33" i="1" s="1"/>
  <c r="AM32" i="1"/>
  <c r="AO32" i="1" s="1"/>
  <c r="AM31" i="1"/>
  <c r="AO31" i="1" s="1"/>
  <c r="AM30" i="1"/>
  <c r="AO30" i="1" s="1"/>
  <c r="AM29" i="1"/>
  <c r="AO29" i="1" s="1"/>
  <c r="AM28" i="1"/>
  <c r="AO28" i="1" s="1"/>
  <c r="AM27" i="1"/>
  <c r="AO27" i="1" s="1"/>
  <c r="AM26" i="1"/>
  <c r="AO26" i="1" s="1"/>
  <c r="AM25" i="1"/>
  <c r="AO25" i="1" s="1"/>
  <c r="AM24" i="1"/>
  <c r="AO24" i="1" s="1"/>
  <c r="AM23" i="1"/>
  <c r="AO23" i="1" s="1"/>
  <c r="AM22" i="1"/>
  <c r="AO22" i="1" s="1"/>
  <c r="AM21" i="1"/>
  <c r="AO21" i="1" s="1"/>
  <c r="AM20" i="1"/>
  <c r="AO60" i="1" l="1"/>
  <c r="AO20" i="1"/>
  <c r="AO107" i="1"/>
</calcChain>
</file>

<file path=xl/sharedStrings.xml><?xml version="1.0" encoding="utf-8"?>
<sst xmlns="http://schemas.openxmlformats.org/spreadsheetml/2006/main" count="2026" uniqueCount="702">
  <si>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</si>
  <si>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</si>
  <si>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</si>
  <si>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</si>
  <si>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</si>
  <si>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</si>
  <si>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</si>
  <si>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</si>
  <si>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</si>
  <si>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</si>
  <si>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</si>
  <si>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</si>
  <si>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</si>
  <si>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</si>
  <si>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</si>
  <si>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</si>
  <si>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</si>
  <si>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</si>
  <si>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</si>
  <si>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</si>
  <si>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</si>
  <si>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</si>
  <si>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</si>
  <si>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</si>
  <si>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</si>
  <si>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</si>
  <si>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</si>
  <si>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</si>
  <si>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</si>
  <si>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</si>
  <si>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</si>
  <si>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</si>
  <si>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</si>
  <si>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</si>
  <si>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</si>
  <si>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</si>
  <si>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</si>
  <si>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</si>
  <si>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</si>
  <si>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</si>
  <si>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</si>
  <si>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</si>
  <si>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</si>
  <si>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</si>
  <si>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</si>
  <si>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</si>
  <si>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</si>
  <si>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</si>
  <si>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</si>
  <si>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</si>
  <si>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</si>
  <si>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</si>
  <si>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</si>
  <si>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</si>
  <si>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</si>
  <si>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</si>
  <si>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</si>
  <si>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</si>
  <si>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</si>
  <si>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</si>
  <si>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</si>
  <si>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</si>
  <si>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</si>
  <si>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</si>
  <si>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</si>
  <si>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</si>
  <si>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</si>
  <si>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</si>
  <si>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</si>
  <si>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</si>
  <si>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</si>
  <si>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</si>
  <si>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</si>
  <si>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</si>
  <si>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</si>
  <si>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</si>
  <si>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</si>
  <si>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</si>
  <si>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</si>
  <si>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</si>
  <si>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</si>
  <si>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</si>
  <si>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</si>
  <si>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</si>
  <si>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</si>
  <si>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</si>
  <si>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</si>
  <si>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</si>
  <si>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</si>
  <si>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</si>
  <si>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</si>
  <si>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</si>
  <si>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</si>
  <si>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</si>
  <si>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</si>
  <si>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</si>
  <si>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</si>
  <si>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</si>
  <si>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</si>
  <si>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</si>
  <si>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</si>
  <si>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</si>
  <si>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</si>
  <si>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</si>
  <si>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</si>
  <si>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</si>
  <si>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</si>
  <si>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</si>
  <si>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</si>
  <si>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</si>
  <si>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</si>
  <si>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</si>
  <si>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</si>
  <si>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</si>
  <si>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</si>
  <si>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</si>
  <si>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</si>
  <si>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</si>
  <si>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</si>
  <si>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</si>
  <si>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</si>
  <si>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</si>
  <si>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</si>
  <si>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</si>
  <si>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</si>
  <si>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</si>
  <si>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</si>
  <si>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</si>
  <si>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</si>
  <si>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</si>
  <si>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</si>
  <si>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</si>
  <si>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</si>
  <si>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</si>
  <si>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</si>
  <si>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</si>
  <si>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</si>
  <si>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</si>
  <si>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</si>
  <si>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</si>
  <si>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</si>
  <si>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</si>
  <si>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</si>
  <si>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</si>
  <si>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</si>
  <si>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</si>
  <si>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</si>
  <si>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</si>
  <si>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</si>
  <si>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</si>
  <si>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</si>
  <si>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</si>
  <si>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</si>
  <si>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</si>
  <si>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</si>
  <si>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</si>
  <si>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</si>
  <si>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</si>
  <si>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</si>
  <si>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</si>
  <si>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</si>
  <si>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</si>
  <si>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</si>
  <si>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</si>
  <si>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</si>
  <si>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</si>
  <si>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</si>
  <si>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</si>
  <si>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</si>
  <si>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</si>
  <si>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</si>
  <si>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</si>
  <si>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</si>
  <si>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</si>
  <si>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</si>
  <si>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</si>
  <si>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</si>
  <si>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</si>
  <si>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</si>
  <si>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</si>
  <si>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</si>
  <si>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</si>
  <si>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</si>
  <si>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</si>
  <si>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</si>
  <si>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</si>
  <si>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</si>
  <si>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</si>
  <si>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</si>
  <si>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</si>
  <si>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</si>
  <si>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</si>
  <si>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</si>
  <si>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</si>
  <si>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</si>
  <si>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</si>
  <si>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</si>
  <si>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</si>
  <si>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</si>
  <si>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</si>
  <si>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</si>
  <si>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</si>
  <si>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</si>
  <si>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</si>
  <si>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</si>
  <si>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</si>
  <si>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</si>
  <si>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</si>
  <si>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</si>
  <si>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</si>
  <si>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</si>
  <si>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</si>
  <si>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</si>
  <si>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</si>
  <si>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</si>
  <si>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</si>
  <si>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</si>
  <si>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</si>
  <si>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</si>
  <si>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</si>
  <si>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</si>
  <si>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</si>
  <si>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</si>
  <si>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</si>
  <si>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</si>
  <si>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</si>
  <si>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</si>
  <si>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</si>
  <si>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</si>
  <si>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</si>
  <si>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</si>
  <si>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</si>
  <si>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</si>
  <si>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</si>
  <si>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</si>
  <si>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</si>
  <si>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</si>
  <si>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</si>
  <si>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</si>
  <si>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</si>
  <si>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</si>
  <si>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</si>
  <si>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</si>
  <si>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</si>
  <si>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</si>
  <si>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</si>
  <si>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</si>
  <si>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</si>
  <si>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</si>
  <si>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</si>
  <si>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</si>
  <si>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</si>
  <si>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</si>
  <si>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</si>
  <si>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</si>
  <si>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</si>
  <si>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</si>
  <si>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</si>
  <si>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</si>
  <si>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</si>
  <si>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</si>
  <si>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</si>
  <si>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</si>
  <si>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</si>
  <si>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</si>
  <si>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</si>
  <si>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</si>
  <si>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</si>
  <si>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</si>
  <si>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</si>
  <si>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</si>
  <si>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</si>
  <si>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</si>
  <si>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</si>
  <si>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</si>
  <si>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</si>
  <si>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</si>
  <si>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</si>
  <si>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</si>
  <si>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</si>
  <si>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</si>
  <si>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</si>
  <si>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</si>
  <si>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</si>
  <si>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</si>
  <si>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</si>
  <si>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</si>
  <si>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</si>
  <si>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</si>
  <si>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</si>
  <si>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</si>
  <si>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</si>
  <si>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</si>
  <si>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</si>
  <si>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</si>
  <si>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</si>
  <si>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</si>
  <si>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</si>
  <si>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</si>
  <si>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</si>
  <si>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</si>
  <si>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</si>
  <si>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</si>
  <si>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</si>
  <si>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</si>
  <si>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</si>
  <si>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</si>
  <si>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</si>
  <si>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</si>
  <si>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</si>
  <si>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</si>
  <si>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</si>
  <si>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</si>
  <si>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</si>
  <si>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</si>
  <si>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</si>
  <si>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</si>
  <si>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</si>
  <si>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</si>
  <si>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</si>
  <si>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</si>
  <si>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</si>
  <si>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</si>
  <si>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</si>
  <si>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</si>
  <si>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</si>
  <si>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</si>
  <si>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</si>
  <si>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</si>
  <si>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</si>
  <si>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</si>
  <si>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</si>
  <si>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</si>
  <si>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</si>
  <si>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</si>
  <si>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</si>
  <si>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</si>
  <si>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</si>
  <si>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</si>
  <si>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</si>
  <si>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</si>
  <si>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</si>
  <si>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</si>
  <si>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</si>
  <si>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</si>
  <si>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</si>
  <si>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</si>
  <si>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</si>
  <si>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</si>
  <si>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</si>
  <si>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</si>
  <si>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</si>
  <si>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</si>
  <si>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</si>
  <si>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</si>
  <si>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</si>
  <si>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</si>
  <si>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</si>
  <si>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</si>
  <si>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</si>
  <si>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</si>
  <si>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</si>
  <si>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</si>
  <si>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</si>
  <si>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</si>
  <si>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</si>
  <si>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</si>
  <si>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</si>
  <si>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</si>
  <si>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</si>
  <si>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</si>
  <si>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</si>
  <si>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</si>
  <si>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</si>
  <si>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</si>
  <si>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</si>
  <si>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</si>
  <si>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</si>
  <si>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</si>
  <si>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</si>
  <si>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</si>
  <si>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</si>
  <si>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</si>
  <si>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</si>
  <si>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</si>
  <si>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</si>
  <si>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</si>
  <si>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</si>
  <si>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</si>
  <si>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</si>
  <si>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</si>
  <si>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</si>
  <si>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</si>
  <si>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</si>
  <si>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</si>
  <si>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</si>
  <si>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</si>
  <si>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</si>
  <si>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</si>
  <si>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</si>
  <si>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</si>
  <si>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</si>
  <si>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</si>
  <si>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</si>
  <si>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</si>
  <si>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</si>
  <si>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</si>
  <si>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</si>
  <si>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</si>
  <si>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</si>
  <si>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</si>
  <si>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</si>
  <si>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</si>
  <si>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</si>
  <si>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</si>
  <si>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</si>
  <si>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</si>
  <si>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</si>
  <si>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</si>
  <si>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</si>
  <si>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</si>
  <si>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</si>
  <si>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</si>
  <si>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</si>
  <si>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</si>
  <si>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</si>
  <si>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</si>
  <si>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</si>
  <si>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</si>
  <si>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</si>
  <si>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</si>
  <si>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</si>
  <si>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</si>
  <si>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</si>
  <si>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</si>
  <si>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</si>
  <si>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</si>
  <si>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</si>
  <si>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</si>
  <si>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</si>
  <si>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</si>
  <si>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</si>
  <si>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</si>
  <si>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</si>
  <si>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</si>
  <si>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</si>
  <si>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</si>
  <si>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</si>
  <si>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</si>
  <si>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</si>
  <si>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</si>
  <si>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</si>
  <si>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</si>
  <si>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</si>
  <si>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</si>
  <si>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</si>
  <si>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</si>
  <si>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</si>
  <si>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</si>
  <si>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</si>
  <si>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</si>
  <si>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</si>
  <si>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</si>
  <si>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</si>
  <si>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</si>
  <si>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</si>
  <si>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</si>
  <si>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</si>
  <si>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</si>
  <si>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</si>
  <si>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</si>
  <si>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</si>
  <si>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</si>
  <si>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</si>
  <si>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</si>
  <si>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</si>
  <si>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</si>
  <si>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</si>
  <si>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</si>
  <si>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</si>
  <si>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</si>
  <si>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</si>
  <si>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</si>
  <si>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</si>
  <si>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</si>
  <si>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</si>
  <si>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</si>
  <si>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</si>
  <si>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</si>
  <si>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</si>
  <si>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</si>
  <si>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</si>
  <si>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</si>
  <si>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</si>
  <si>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</si>
  <si>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</si>
  <si>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</si>
  <si>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</si>
  <si>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</si>
  <si>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</si>
  <si>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</si>
  <si>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</si>
  <si>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</si>
  <si>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</si>
  <si>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</si>
  <si>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</si>
  <si>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</si>
  <si>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</si>
  <si>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</si>
  <si>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</si>
  <si>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</si>
  <si>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</si>
  <si>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</si>
  <si>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</si>
  <si>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</si>
  <si>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</si>
  <si>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</si>
  <si>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</si>
  <si>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</si>
  <si>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</si>
  <si>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</si>
  <si>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</si>
  <si>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</si>
  <si>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</si>
  <si>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</si>
  <si>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</si>
  <si>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</si>
  <si>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</si>
  <si>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</si>
  <si>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</si>
  <si>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</si>
  <si>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</si>
  <si>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</si>
  <si>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</si>
  <si>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</si>
  <si>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</si>
  <si>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</si>
  <si>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</si>
  <si>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</si>
  <si>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</si>
  <si>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</si>
  <si>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</si>
  <si>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</si>
  <si>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</si>
  <si>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</si>
  <si>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</si>
  <si>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</si>
  <si>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</si>
  <si>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</si>
  <si>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</si>
  <si>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</si>
  <si>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</si>
  <si>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</si>
  <si>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</si>
  <si>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</si>
  <si>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</si>
  <si>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</si>
  <si>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</si>
  <si>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</si>
  <si>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</si>
  <si>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</si>
  <si>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</si>
  <si>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</si>
  <si>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</si>
  <si>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</si>
  <si>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</si>
  <si>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</si>
  <si>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</si>
  <si>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</si>
  <si>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</si>
  <si>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</si>
  <si>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</si>
  <si>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</si>
  <si>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</si>
  <si>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</si>
  <si>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</si>
  <si>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</si>
  <si>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</si>
  <si>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</si>
  <si>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</si>
  <si>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</si>
  <si>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</si>
  <si>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</si>
  <si>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</si>
  <si>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</si>
  <si>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</si>
  <si>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</si>
  <si>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</si>
  <si>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</si>
  <si>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</si>
  <si>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</si>
  <si>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</si>
  <si>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</si>
  <si>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</si>
  <si>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</si>
  <si>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</si>
  <si>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</si>
  <si>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</si>
  <si>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</si>
  <si>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</si>
  <si>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</si>
  <si>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</si>
  <si>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</si>
  <si>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</si>
  <si>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</si>
  <si>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</si>
  <si>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</si>
  <si>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</si>
  <si>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</si>
  <si>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</si>
  <si>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</si>
  <si>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</si>
  <si>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</si>
  <si>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</si>
  <si>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</si>
  <si>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</si>
  <si>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</si>
  <si>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</si>
  <si>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</si>
  <si>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</si>
  <si>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</si>
  <si>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</si>
  <si>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</si>
  <si>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</si>
  <si>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</si>
  <si>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</si>
  <si>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</si>
  <si>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</si>
  <si>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</si>
  <si>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</si>
  <si>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</si>
  <si>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</si>
  <si>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</si>
  <si>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</si>
  <si>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</si>
  <si>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</si>
  <si>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</si>
  <si>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</si>
  <si>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</si>
  <si>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</si>
  <si>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</si>
  <si>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</si>
  <si>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</si>
  <si>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</si>
  <si>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</si>
  <si>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</si>
  <si>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</si>
  <si>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</si>
  <si>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</si>
  <si>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</si>
  <si>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</si>
  <si>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</si>
  <si>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</si>
  <si>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</si>
  <si>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</si>
  <si>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</si>
  <si>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</si>
  <si>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</si>
  <si>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</si>
  <si>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</si>
  <si>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</si>
  <si>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</si>
  <si>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</si>
  <si>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</si>
  <si>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</si>
  <si>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</si>
  <si>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</si>
  <si>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</si>
  <si>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</si>
  <si>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</si>
  <si>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</si>
  <si>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</si>
  <si>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</si>
  <si>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</si>
  <si>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</si>
  <si>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</si>
  <si>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</si>
  <si>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</si>
  <si>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</si>
  <si>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</si>
  <si>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</si>
  <si>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</si>
  <si>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</si>
  <si>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</si>
  <si>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</si>
  <si>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</si>
  <si>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</si>
  <si>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</si>
  <si>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</si>
  <si>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</si>
  <si>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</si>
  <si>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</si>
  <si>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</si>
  <si>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022/12/2021</t>
  </si>
  <si>
    <t>Data da emissão 11/07/2022</t>
  </si>
  <si>
    <t>Seq.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</si>
  <si>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FUNDO MUNICIPAL DE ASSISTENCIA SOCIAL  - FMAS</t>
    </r>
  </si>
  <si>
    <r>
      <t>DATA DA ÚLTIMA ATUALIZAÇÃO:</t>
    </r>
    <r>
      <rPr>
        <b/>
        <sz val="11"/>
        <color theme="1"/>
        <rFont val="Calibri"/>
        <family val="2"/>
        <scheme val="minor"/>
      </rPr>
      <t xml:space="preserve">  JANEIRO A JUNHO/2022</t>
    </r>
  </si>
  <si>
    <t>Nº do Convênio/ Contrato</t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</si>
  <si>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Ailton José Blazute Braga</t>
    </r>
  </si>
  <si>
    <r>
      <t xml:space="preserve">Nome do responsável pelo Órgão/Entidade: </t>
    </r>
    <r>
      <rPr>
        <b/>
        <sz val="11"/>
        <color theme="1"/>
        <rFont val="Calibri"/>
        <family val="2"/>
        <scheme val="minor"/>
      </rPr>
      <t xml:space="preserve">Marfisa de Lima Galvão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</si>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</sst>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left" vertical="center" wrapText="1"/>
    </xf>
    <xf numFmtId="14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14" fontId="6" fillId="0" borderId="3" xfId="0" applyNumberFormat="1" applyFont="1" applyFill="1" applyBorder="1" applyAlignment="1">
      <alignment horizontal="left" vertical="center" wrapText="1"/>
    </xf>
    <xf numFmtId="10" fontId="4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>
      <alignment horizontal="left" vertical="center" wrapText="1"/>
    </xf>
    <xf numFmtId="10" fontId="4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4" fontId="4" fillId="0" borderId="1" xfId="0" quotePrefix="1" applyNumberFormat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3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9" fontId="4" fillId="0" borderId="1" xfId="0" applyNumberFormat="1" applyFont="1" applyFill="1" applyBorder="1" applyAlignment="1">
      <alignment horizontal="left" vertical="center"/>
    </xf>
    <xf numFmtId="10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4" fillId="0" borderId="1" xfId="0" quotePrefix="1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left" vertical="center"/>
    </xf>
    <xf numFmtId="3" fontId="6" fillId="0" borderId="1" xfId="0" quotePrefix="1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left" vertical="center" wrapText="1"/>
    </xf>
    <xf numFmtId="17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4" fontId="0" fillId="0" borderId="0" xfId="2" applyFont="1" applyFill="1" applyAlignment="1">
      <alignment horizontal="left" vertical="center"/>
    </xf>
    <xf numFmtId="44" fontId="0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7" fillId="0" borderId="11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4" fillId="0" borderId="1" xfId="2" applyFont="1" applyFill="1" applyBorder="1" applyAlignment="1" applyProtection="1">
      <alignment horizontal="left" vertical="center" wrapText="1"/>
      <protection locked="0"/>
    </xf>
    <xf numFmtId="44" fontId="4" fillId="0" borderId="1" xfId="2" applyFont="1" applyFill="1" applyBorder="1" applyAlignment="1">
      <alignment horizontal="left" vertical="center"/>
    </xf>
    <xf numFmtId="44" fontId="6" fillId="0" borderId="1" xfId="2" applyFont="1" applyFill="1" applyBorder="1" applyAlignment="1">
      <alignment horizontal="left" vertical="center"/>
    </xf>
    <xf numFmtId="44" fontId="4" fillId="0" borderId="0" xfId="2" applyFont="1" applyFill="1" applyAlignment="1">
      <alignment vertical="center"/>
    </xf>
    <xf numFmtId="17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44" fontId="6" fillId="0" borderId="1" xfId="2" applyFont="1" applyFill="1" applyBorder="1" applyAlignment="1">
      <alignment horizontal="left" vertical="center" wrapText="1"/>
    </xf>
    <xf numFmtId="44" fontId="8" fillId="0" borderId="1" xfId="2" applyFont="1" applyFill="1" applyBorder="1" applyAlignment="1">
      <alignment horizontal="left" vertical="center"/>
    </xf>
    <xf numFmtId="44" fontId="7" fillId="0" borderId="1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44" fontId="7" fillId="0" borderId="12" xfId="2" applyFont="1" applyFill="1" applyBorder="1" applyAlignment="1">
      <alignment horizontal="center" vertical="center" wrapText="1"/>
    </xf>
    <xf numFmtId="44" fontId="6" fillId="0" borderId="3" xfId="2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  <protection locked="0"/>
    </xf>
    <xf numFmtId="3" fontId="4" fillId="0" borderId="2" xfId="0" quotePrefix="1" applyNumberFormat="1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14" fontId="4" fillId="0" borderId="2" xfId="0" applyNumberFormat="1" applyFont="1" applyFill="1" applyBorder="1" applyAlignment="1">
      <alignment horizontal="left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4" fontId="4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4" fontId="6" fillId="0" borderId="4" xfId="2" applyFont="1" applyFill="1" applyBorder="1" applyAlignment="1">
      <alignment horizontal="left" vertical="center" wrapText="1"/>
    </xf>
    <xf numFmtId="44" fontId="4" fillId="0" borderId="2" xfId="2" applyFont="1" applyFill="1" applyBorder="1" applyAlignment="1">
      <alignment horizontal="left" vertical="center" wrapText="1"/>
    </xf>
    <xf numFmtId="44" fontId="4" fillId="0" borderId="4" xfId="2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4" fontId="5" fillId="0" borderId="13" xfId="2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44" fontId="5" fillId="0" borderId="14" xfId="2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4" fontId="0" fillId="0" borderId="0" xfId="2" applyFont="1" applyFill="1" applyAlignment="1">
      <alignment vertical="center"/>
    </xf>
    <xf numFmtId="44" fontId="0" fillId="0" borderId="0" xfId="2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127606</xdr:colOff>
      <xdr:row>0</xdr:row>
      <xdr:rowOff>42862</xdr:rowOff>
    </xdr:from>
    <xdr:to>
      <xdr:col>1</xdr:col>
      <xdr:colOff>647700</xdr:colOff>
      <xdr:row>2</xdr:row>
      <xdr:rowOff>171449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0056" y="42862"/>
          <a:ext cx="520094" cy="509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7"/>
  <sheetViews>
    <sheetView tabSelected="1" zoomScaleNormal="100" zoomScaleSheetLayoutView="50" workbookViewId="0">
      <selection activeCell="AN108" sqref="AN108"/>
    </sheetView>
  </sheetViews>
  <sheetFormatPr defaultRowHeight="12.75" x14ac:dyDescent="0.25"/>
  <cols>
    <col min="1" max="1" width="8.28515625" style="5" customWidth="1"/>
    <col min="2" max="2" width="30.42578125" style="5" bestFit="1" customWidth="1"/>
    <col min="3" max="3" width="42.140625" style="5" bestFit="1" customWidth="1"/>
    <col min="4" max="4" width="10.140625" style="5" bestFit="1" customWidth="1"/>
    <col min="5" max="5" width="4.28515625" style="5" bestFit="1" customWidth="1"/>
    <col min="6" max="6" width="57.85546875" style="5" bestFit="1" customWidth="1"/>
    <col min="7" max="7" width="11.42578125" style="5" bestFit="1" customWidth="1"/>
    <col min="8" max="8" width="18" style="5" customWidth="1"/>
    <col min="9" max="9" width="10.42578125" style="5" bestFit="1" customWidth="1"/>
    <col min="10" max="10" width="13.140625" style="5" bestFit="1" customWidth="1"/>
    <col min="11" max="11" width="10.5703125" style="10" bestFit="1" customWidth="1"/>
    <col min="12" max="12" width="63" style="69" bestFit="1" customWidth="1"/>
    <col min="13" max="13" width="20" style="4" customWidth="1"/>
    <col min="14" max="14" width="12.85546875" style="5" customWidth="1"/>
    <col min="15" max="15" width="15.7109375" style="87" bestFit="1" customWidth="1"/>
    <col min="16" max="16" width="12.28515625" style="5" customWidth="1"/>
    <col min="17" max="17" width="15.5703125" style="5" customWidth="1"/>
    <col min="18" max="18" width="16.5703125" style="5" bestFit="1" customWidth="1"/>
    <col min="19" max="19" width="12.42578125" style="5" customWidth="1"/>
    <col min="20" max="20" width="9.140625" style="69" bestFit="1" customWidth="1"/>
    <col min="21" max="21" width="10.42578125" style="5" bestFit="1" customWidth="1"/>
    <col min="22" max="22" width="13.85546875" style="87" customWidth="1"/>
    <col min="23" max="23" width="23.42578125" style="5" bestFit="1" customWidth="1"/>
    <col min="24" max="24" width="4.28515625" style="5" bestFit="1" customWidth="1"/>
    <col min="25" max="25" width="11.140625" style="5" bestFit="1" customWidth="1"/>
    <col min="26" max="26" width="15.28515625" style="5" bestFit="1" customWidth="1"/>
    <col min="27" max="27" width="12.5703125" style="5" customWidth="1"/>
    <col min="28" max="28" width="16.5703125" style="5" bestFit="1" customWidth="1"/>
    <col min="29" max="29" width="14" style="5" bestFit="1" customWidth="1"/>
    <col min="30" max="30" width="10.42578125" style="5" bestFit="1" customWidth="1"/>
    <col min="31" max="32" width="8.7109375" style="5" bestFit="1" customWidth="1"/>
    <col min="33" max="33" width="9.7109375" style="87" bestFit="1" customWidth="1"/>
    <col min="34" max="34" width="8.7109375" style="87" bestFit="1" customWidth="1"/>
    <col min="35" max="35" width="11.140625" style="5" bestFit="1" customWidth="1"/>
    <col min="36" max="36" width="10.5703125" style="5" customWidth="1"/>
    <col min="37" max="37" width="8" style="87" bestFit="1" customWidth="1"/>
    <col min="38" max="38" width="22.85546875" style="87" customWidth="1"/>
    <col min="39" max="39" width="21.5703125" style="87" bestFit="1" customWidth="1"/>
    <col min="40" max="40" width="24.28515625" style="87" bestFit="1" customWidth="1"/>
    <col min="41" max="41" width="15.7109375" style="87" bestFit="1" customWidth="1"/>
    <col min="42" max="42" width="9.140625" style="5"/>
    <col min="43" max="43" width="9.140625" style="5" customWidth="1"/>
    <col min="44" max="16384" width="9.140625" style="5"/>
  </cols>
  <sheetData>
    <row r="1" spans="1:41" s="57" customFormat="1" ht="15" x14ac:dyDescent="0.25">
      <c r="K1" s="70"/>
      <c r="L1" s="58"/>
      <c r="O1" s="78"/>
      <c r="T1" s="58"/>
      <c r="V1" s="78"/>
      <c r="AG1" s="78"/>
      <c r="AH1" s="78"/>
      <c r="AK1" s="78"/>
      <c r="AL1" s="78"/>
      <c r="AM1" s="78"/>
      <c r="AN1" s="78"/>
      <c r="AO1" s="78"/>
    </row>
    <row r="2" spans="1:41" s="57" customFormat="1" ht="15" x14ac:dyDescent="0.25">
      <c r="K2" s="70"/>
      <c r="L2" s="58"/>
      <c r="O2" s="78"/>
      <c r="T2" s="58"/>
      <c r="V2" s="78"/>
      <c r="AG2" s="78"/>
      <c r="AH2" s="78"/>
      <c r="AK2" s="78"/>
      <c r="AL2" s="78"/>
      <c r="AM2" s="78"/>
      <c r="AN2" s="78"/>
      <c r="AO2" s="78"/>
    </row>
    <row r="3" spans="1:41" s="57" customFormat="1" ht="15" x14ac:dyDescent="0.25">
      <c r="K3" s="70"/>
      <c r="L3" s="58"/>
      <c r="O3" s="78"/>
      <c r="T3" s="58"/>
      <c r="V3" s="78"/>
      <c r="AG3" s="78"/>
      <c r="AH3" s="78"/>
      <c r="AK3" s="78"/>
      <c r="AL3" s="78"/>
      <c r="AM3" s="78"/>
      <c r="AN3" s="78"/>
      <c r="AO3" s="78"/>
    </row>
    <row r="4" spans="1:41" s="57" customFormat="1" ht="15" x14ac:dyDescent="0.25">
      <c r="A4" s="58" t="s">
        <v>50</v>
      </c>
      <c r="K4" s="70"/>
      <c r="L4" s="58"/>
      <c r="O4" s="78"/>
      <c r="T4" s="58"/>
      <c r="V4" s="78"/>
      <c r="AG4" s="78"/>
      <c r="AH4" s="78"/>
      <c r="AK4" s="78"/>
      <c r="AL4" s="78"/>
      <c r="AM4" s="78"/>
      <c r="AN4" s="78"/>
      <c r="AO4" s="78"/>
    </row>
    <row r="5" spans="1:41" s="57" customFormat="1" ht="15" x14ac:dyDescent="0.25">
      <c r="K5" s="70"/>
      <c r="L5" s="58"/>
      <c r="O5" s="78"/>
      <c r="T5" s="58"/>
      <c r="V5" s="78"/>
      <c r="AG5" s="78"/>
      <c r="AH5" s="78"/>
      <c r="AK5" s="78"/>
      <c r="AL5" s="78"/>
      <c r="AM5" s="78"/>
      <c r="AN5" s="78"/>
      <c r="AO5" s="78"/>
    </row>
    <row r="6" spans="1:41" s="57" customFormat="1" ht="15" x14ac:dyDescent="0.25">
      <c r="A6" s="58" t="s">
        <v>487</v>
      </c>
      <c r="K6" s="70"/>
      <c r="L6" s="58"/>
      <c r="O6" s="78"/>
      <c r="T6" s="58"/>
      <c r="V6" s="78"/>
      <c r="AG6" s="78"/>
      <c r="AH6" s="78"/>
      <c r="AK6" s="78"/>
      <c r="AL6" s="78"/>
      <c r="AM6" s="78"/>
      <c r="AN6" s="78"/>
      <c r="AO6" s="78"/>
    </row>
    <row r="7" spans="1:41" s="57" customFormat="1" ht="15" x14ac:dyDescent="0.25">
      <c r="A7" s="57" t="s">
        <v>63</v>
      </c>
      <c r="K7" s="70"/>
      <c r="L7" s="58"/>
      <c r="O7" s="78"/>
      <c r="T7" s="58"/>
      <c r="V7" s="78"/>
      <c r="AG7" s="78"/>
      <c r="AH7" s="78"/>
      <c r="AK7" s="78"/>
      <c r="AL7" s="78"/>
      <c r="AM7" s="78"/>
      <c r="AN7" s="78"/>
      <c r="AO7" s="78"/>
    </row>
    <row r="8" spans="1:41" s="57" customFormat="1" ht="15" x14ac:dyDescent="0.25">
      <c r="A8" s="57" t="s">
        <v>84</v>
      </c>
      <c r="K8" s="70"/>
      <c r="L8" s="58"/>
      <c r="O8" s="78"/>
      <c r="T8" s="58"/>
      <c r="V8" s="78"/>
      <c r="AG8" s="78"/>
      <c r="AH8" s="78"/>
      <c r="AK8" s="78"/>
      <c r="AL8" s="78"/>
      <c r="AM8" s="78"/>
      <c r="AN8" s="78"/>
      <c r="AO8" s="78"/>
    </row>
    <row r="9" spans="1:41" s="57" customFormat="1" ht="15" x14ac:dyDescent="0.25">
      <c r="K9" s="70"/>
      <c r="L9" s="58"/>
      <c r="O9" s="78"/>
      <c r="T9" s="58"/>
      <c r="V9" s="78"/>
      <c r="AG9" s="78"/>
      <c r="AH9" s="78"/>
      <c r="AK9" s="78"/>
      <c r="AL9" s="78"/>
      <c r="AM9" s="78"/>
      <c r="AN9" s="78"/>
      <c r="AO9" s="78"/>
    </row>
    <row r="10" spans="1:41" s="57" customFormat="1" ht="15" x14ac:dyDescent="0.25">
      <c r="A10" s="57" t="s">
        <v>696</v>
      </c>
      <c r="K10" s="70"/>
      <c r="L10" s="58"/>
      <c r="O10" s="78"/>
      <c r="T10" s="58"/>
      <c r="V10" s="78"/>
      <c r="AG10" s="78"/>
      <c r="AH10" s="78"/>
      <c r="AK10" s="78"/>
      <c r="AL10" s="78"/>
      <c r="AM10" s="78"/>
      <c r="AN10" s="78"/>
      <c r="AO10" s="78"/>
    </row>
    <row r="11" spans="1:41" s="57" customFormat="1" ht="15" x14ac:dyDescent="0.25">
      <c r="A11" s="57" t="s">
        <v>697</v>
      </c>
      <c r="K11" s="70"/>
      <c r="L11" s="58"/>
      <c r="O11" s="78"/>
      <c r="T11" s="58"/>
      <c r="V11" s="78"/>
      <c r="AG11" s="78"/>
      <c r="AH11" s="78"/>
      <c r="AK11" s="78"/>
      <c r="AL11" s="78"/>
      <c r="AM11" s="78"/>
      <c r="AN11" s="78"/>
      <c r="AO11" s="78"/>
    </row>
    <row r="12" spans="1:41" s="57" customFormat="1" ht="15" x14ac:dyDescent="0.25">
      <c r="K12" s="70"/>
      <c r="L12" s="58"/>
      <c r="O12" s="78"/>
      <c r="T12" s="58"/>
      <c r="V12" s="78"/>
      <c r="AG12" s="78"/>
      <c r="AH12" s="78"/>
      <c r="AK12" s="78"/>
      <c r="AL12" s="78"/>
      <c r="AM12" s="78"/>
      <c r="AN12" s="78"/>
      <c r="AO12" s="78"/>
    </row>
    <row r="13" spans="1:41" s="57" customFormat="1" ht="15.75" thickBot="1" x14ac:dyDescent="0.3">
      <c r="A13" s="59" t="s">
        <v>62</v>
      </c>
      <c r="B13" s="60"/>
      <c r="C13" s="60"/>
      <c r="D13" s="60"/>
      <c r="E13" s="60"/>
      <c r="F13" s="60"/>
      <c r="G13" s="60"/>
      <c r="H13" s="60"/>
      <c r="I13" s="60"/>
      <c r="J13" s="60"/>
      <c r="K13" s="71"/>
      <c r="L13" s="59"/>
      <c r="M13" s="60"/>
      <c r="N13" s="60"/>
      <c r="O13" s="79"/>
      <c r="P13" s="60"/>
      <c r="Q13" s="60"/>
      <c r="R13" s="60"/>
      <c r="S13" s="60"/>
      <c r="T13" s="59"/>
      <c r="U13" s="60"/>
      <c r="V13" s="79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79"/>
      <c r="AH13" s="79"/>
      <c r="AI13" s="60"/>
      <c r="AJ13" s="60"/>
      <c r="AK13" s="79"/>
      <c r="AL13" s="79"/>
      <c r="AM13" s="79"/>
      <c r="AN13" s="79"/>
      <c r="AO13" s="79"/>
    </row>
    <row r="14" spans="1:41" x14ac:dyDescent="0.25">
      <c r="A14" s="121" t="s">
        <v>695</v>
      </c>
      <c r="B14" s="126" t="s">
        <v>21</v>
      </c>
      <c r="C14" s="126"/>
      <c r="D14" s="126"/>
      <c r="E14" s="126"/>
      <c r="F14" s="126"/>
      <c r="G14" s="126"/>
      <c r="H14" s="14"/>
      <c r="I14" s="14"/>
      <c r="J14" s="14"/>
      <c r="K14" s="126" t="s">
        <v>127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7"/>
    </row>
    <row r="15" spans="1:41" x14ac:dyDescent="0.25">
      <c r="A15" s="122"/>
      <c r="B15" s="124"/>
      <c r="C15" s="124"/>
      <c r="D15" s="124"/>
      <c r="E15" s="124"/>
      <c r="F15" s="124"/>
      <c r="G15" s="124"/>
      <c r="H15" s="124" t="s">
        <v>81</v>
      </c>
      <c r="I15" s="124"/>
      <c r="J15" s="124"/>
      <c r="K15" s="124" t="s">
        <v>51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 t="s">
        <v>73</v>
      </c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 t="s">
        <v>65</v>
      </c>
      <c r="AJ15" s="124"/>
      <c r="AK15" s="124"/>
      <c r="AL15" s="129" t="s">
        <v>52</v>
      </c>
      <c r="AM15" s="129"/>
      <c r="AN15" s="129"/>
      <c r="AO15" s="130"/>
    </row>
    <row r="16" spans="1:41" x14ac:dyDescent="0.25">
      <c r="A16" s="122"/>
      <c r="B16" s="124"/>
      <c r="C16" s="124"/>
      <c r="D16" s="124"/>
      <c r="E16" s="124"/>
      <c r="F16" s="124"/>
      <c r="G16" s="124"/>
      <c r="H16" s="124" t="s">
        <v>79</v>
      </c>
      <c r="I16" s="124" t="s">
        <v>80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 t="s">
        <v>64</v>
      </c>
      <c r="AD16" s="124"/>
      <c r="AE16" s="124" t="s">
        <v>67</v>
      </c>
      <c r="AF16" s="124"/>
      <c r="AG16" s="124"/>
      <c r="AH16" s="124"/>
      <c r="AI16" s="124" t="s">
        <v>66</v>
      </c>
      <c r="AJ16" s="124"/>
      <c r="AK16" s="124"/>
      <c r="AL16" s="80"/>
      <c r="AM16" s="129" t="s">
        <v>74</v>
      </c>
      <c r="AN16" s="129"/>
      <c r="AO16" s="130"/>
    </row>
    <row r="17" spans="1:41" ht="38.25" x14ac:dyDescent="0.25">
      <c r="A17" s="122"/>
      <c r="B17" s="2" t="s">
        <v>6</v>
      </c>
      <c r="C17" s="2" t="s">
        <v>7</v>
      </c>
      <c r="D17" s="2" t="s">
        <v>0</v>
      </c>
      <c r="E17" s="2" t="s">
        <v>1</v>
      </c>
      <c r="F17" s="2" t="s">
        <v>2</v>
      </c>
      <c r="G17" s="2" t="s">
        <v>8</v>
      </c>
      <c r="H17" s="124"/>
      <c r="I17" s="2" t="s">
        <v>132</v>
      </c>
      <c r="J17" s="2" t="s">
        <v>133</v>
      </c>
      <c r="K17" s="3" t="s">
        <v>9</v>
      </c>
      <c r="L17" s="2" t="s">
        <v>3</v>
      </c>
      <c r="M17" s="2" t="s">
        <v>19</v>
      </c>
      <c r="N17" s="2" t="s">
        <v>10</v>
      </c>
      <c r="O17" s="80" t="s">
        <v>48</v>
      </c>
      <c r="P17" s="2" t="s">
        <v>14</v>
      </c>
      <c r="Q17" s="2" t="s">
        <v>134</v>
      </c>
      <c r="R17" s="2" t="s">
        <v>135</v>
      </c>
      <c r="S17" s="2" t="s">
        <v>4</v>
      </c>
      <c r="T17" s="2" t="s">
        <v>698</v>
      </c>
      <c r="U17" s="2" t="s">
        <v>53</v>
      </c>
      <c r="V17" s="80" t="s">
        <v>54</v>
      </c>
      <c r="W17" s="2" t="s">
        <v>5</v>
      </c>
      <c r="X17" s="2" t="s">
        <v>1</v>
      </c>
      <c r="Y17" s="2" t="s">
        <v>76</v>
      </c>
      <c r="Z17" s="2" t="s">
        <v>136</v>
      </c>
      <c r="AA17" s="2" t="s">
        <v>14</v>
      </c>
      <c r="AB17" s="2" t="s">
        <v>11</v>
      </c>
      <c r="AC17" s="2" t="s">
        <v>13</v>
      </c>
      <c r="AD17" s="2" t="s">
        <v>12</v>
      </c>
      <c r="AE17" s="2" t="s">
        <v>15</v>
      </c>
      <c r="AF17" s="2" t="s">
        <v>16</v>
      </c>
      <c r="AG17" s="80" t="s">
        <v>17</v>
      </c>
      <c r="AH17" s="80" t="s">
        <v>18</v>
      </c>
      <c r="AI17" s="2" t="s">
        <v>72</v>
      </c>
      <c r="AJ17" s="2" t="s">
        <v>71</v>
      </c>
      <c r="AK17" s="80" t="s">
        <v>70</v>
      </c>
      <c r="AL17" s="80" t="s">
        <v>22</v>
      </c>
      <c r="AM17" s="94" t="s">
        <v>466</v>
      </c>
      <c r="AN17" s="80" t="s">
        <v>467</v>
      </c>
      <c r="AO17" s="95" t="s">
        <v>20</v>
      </c>
    </row>
    <row r="18" spans="1:41" s="6" customFormat="1" ht="13.5" thickBot="1" x14ac:dyDescent="0.3">
      <c r="A18" s="123"/>
      <c r="B18" s="15" t="s">
        <v>23</v>
      </c>
      <c r="C18" s="15" t="s">
        <v>24</v>
      </c>
      <c r="D18" s="16" t="s">
        <v>47</v>
      </c>
      <c r="E18" s="15" t="s">
        <v>25</v>
      </c>
      <c r="F18" s="15" t="s">
        <v>26</v>
      </c>
      <c r="G18" s="15" t="s">
        <v>27</v>
      </c>
      <c r="H18" s="15" t="s">
        <v>28</v>
      </c>
      <c r="I18" s="15" t="s">
        <v>29</v>
      </c>
      <c r="J18" s="15" t="s">
        <v>30</v>
      </c>
      <c r="K18" s="16" t="s">
        <v>31</v>
      </c>
      <c r="L18" s="15" t="s">
        <v>32</v>
      </c>
      <c r="M18" s="15" t="s">
        <v>33</v>
      </c>
      <c r="N18" s="15" t="s">
        <v>34</v>
      </c>
      <c r="O18" s="81" t="s">
        <v>35</v>
      </c>
      <c r="P18" s="15" t="s">
        <v>36</v>
      </c>
      <c r="Q18" s="15" t="s">
        <v>37</v>
      </c>
      <c r="R18" s="15" t="s">
        <v>38</v>
      </c>
      <c r="S18" s="15" t="s">
        <v>49</v>
      </c>
      <c r="T18" s="15" t="s">
        <v>39</v>
      </c>
      <c r="U18" s="15" t="s">
        <v>75</v>
      </c>
      <c r="V18" s="81" t="s">
        <v>40</v>
      </c>
      <c r="W18" s="15" t="s">
        <v>41</v>
      </c>
      <c r="X18" s="15" t="s">
        <v>42</v>
      </c>
      <c r="Y18" s="15" t="s">
        <v>43</v>
      </c>
      <c r="Z18" s="15" t="s">
        <v>44</v>
      </c>
      <c r="AA18" s="15" t="s">
        <v>45</v>
      </c>
      <c r="AB18" s="15" t="s">
        <v>55</v>
      </c>
      <c r="AC18" s="15" t="s">
        <v>46</v>
      </c>
      <c r="AD18" s="15" t="s">
        <v>77</v>
      </c>
      <c r="AE18" s="15" t="s">
        <v>68</v>
      </c>
      <c r="AF18" s="15" t="s">
        <v>56</v>
      </c>
      <c r="AG18" s="81" t="s">
        <v>69</v>
      </c>
      <c r="AH18" s="81" t="s">
        <v>78</v>
      </c>
      <c r="AI18" s="15" t="s">
        <v>57</v>
      </c>
      <c r="AJ18" s="15" t="s">
        <v>58</v>
      </c>
      <c r="AK18" s="81" t="s">
        <v>59</v>
      </c>
      <c r="AL18" s="81" t="s">
        <v>83</v>
      </c>
      <c r="AM18" s="81" t="s">
        <v>60</v>
      </c>
      <c r="AN18" s="81" t="s">
        <v>61</v>
      </c>
      <c r="AO18" s="96" t="s">
        <v>82</v>
      </c>
    </row>
    <row r="19" spans="1:41" s="28" customFormat="1" ht="25.5" x14ac:dyDescent="0.25">
      <c r="A19" s="17" t="s">
        <v>323</v>
      </c>
      <c r="B19" s="20" t="s">
        <v>88</v>
      </c>
      <c r="C19" s="20" t="s">
        <v>89</v>
      </c>
      <c r="D19" s="21" t="s">
        <v>87</v>
      </c>
      <c r="E19" s="21" t="s">
        <v>86</v>
      </c>
      <c r="F19" s="20" t="s">
        <v>178</v>
      </c>
      <c r="G19" s="22" t="s">
        <v>131</v>
      </c>
      <c r="H19" s="22" t="s">
        <v>131</v>
      </c>
      <c r="I19" s="22" t="s">
        <v>131</v>
      </c>
      <c r="J19" s="22" t="s">
        <v>131</v>
      </c>
      <c r="K19" s="72" t="s">
        <v>94</v>
      </c>
      <c r="L19" s="61" t="s">
        <v>95</v>
      </c>
      <c r="M19" s="20" t="s">
        <v>96</v>
      </c>
      <c r="N19" s="23">
        <v>41334</v>
      </c>
      <c r="O19" s="82">
        <v>7459.55</v>
      </c>
      <c r="P19" s="24">
        <v>11014</v>
      </c>
      <c r="Q19" s="23">
        <v>41334</v>
      </c>
      <c r="R19" s="23">
        <v>41699</v>
      </c>
      <c r="S19" s="21">
        <v>117</v>
      </c>
      <c r="T19" s="61" t="s">
        <v>94</v>
      </c>
      <c r="U19" s="21" t="s">
        <v>108</v>
      </c>
      <c r="V19" s="82" t="s">
        <v>131</v>
      </c>
      <c r="W19" s="20" t="s">
        <v>110</v>
      </c>
      <c r="X19" s="20" t="s">
        <v>131</v>
      </c>
      <c r="Y19" s="22">
        <v>7</v>
      </c>
      <c r="Z19" s="23">
        <v>43710</v>
      </c>
      <c r="AA19" s="24">
        <v>12625</v>
      </c>
      <c r="AB19" s="25" t="s">
        <v>114</v>
      </c>
      <c r="AC19" s="26">
        <v>43922</v>
      </c>
      <c r="AD19" s="26">
        <v>44286</v>
      </c>
      <c r="AE19" s="20">
        <v>5.04</v>
      </c>
      <c r="AF19" s="27"/>
      <c r="AG19" s="82"/>
      <c r="AH19" s="82"/>
      <c r="AI19" s="22"/>
      <c r="AJ19" s="22"/>
      <c r="AK19" s="97"/>
      <c r="AL19" s="97">
        <f>O19-AH19+AG19+AK19</f>
        <v>7459.55</v>
      </c>
      <c r="AM19" s="97"/>
      <c r="AN19" s="97"/>
      <c r="AO19" s="82">
        <f>AM19+AN19</f>
        <v>0</v>
      </c>
    </row>
    <row r="20" spans="1:41" s="28" customFormat="1" ht="25.5" x14ac:dyDescent="0.25">
      <c r="A20" s="18" t="s">
        <v>324</v>
      </c>
      <c r="B20" s="29" t="s">
        <v>90</v>
      </c>
      <c r="C20" s="29" t="s">
        <v>91</v>
      </c>
      <c r="D20" s="30" t="s">
        <v>85</v>
      </c>
      <c r="E20" s="30" t="s">
        <v>92</v>
      </c>
      <c r="F20" s="29" t="s">
        <v>93</v>
      </c>
      <c r="G20" s="31" t="s">
        <v>131</v>
      </c>
      <c r="H20" s="31" t="s">
        <v>131</v>
      </c>
      <c r="I20" s="31" t="s">
        <v>131</v>
      </c>
      <c r="J20" s="31" t="s">
        <v>131</v>
      </c>
      <c r="K20" s="3" t="s">
        <v>102</v>
      </c>
      <c r="L20" s="62" t="s">
        <v>128</v>
      </c>
      <c r="M20" s="29" t="s">
        <v>103</v>
      </c>
      <c r="N20" s="33">
        <v>42097</v>
      </c>
      <c r="O20" s="83">
        <v>15984</v>
      </c>
      <c r="P20" s="34">
        <v>11541</v>
      </c>
      <c r="Q20" s="33">
        <v>42097</v>
      </c>
      <c r="R20" s="33">
        <v>42462</v>
      </c>
      <c r="S20" s="30">
        <v>117</v>
      </c>
      <c r="T20" s="62" t="s">
        <v>102</v>
      </c>
      <c r="U20" s="35" t="s">
        <v>108</v>
      </c>
      <c r="V20" s="83" t="s">
        <v>131</v>
      </c>
      <c r="W20" s="29" t="s">
        <v>111</v>
      </c>
      <c r="X20" s="29" t="s">
        <v>131</v>
      </c>
      <c r="Y20" s="31">
        <v>6</v>
      </c>
      <c r="Z20" s="33">
        <v>44286</v>
      </c>
      <c r="AA20" s="34">
        <v>13014</v>
      </c>
      <c r="AB20" s="29" t="s">
        <v>115</v>
      </c>
      <c r="AC20" s="36">
        <v>44286</v>
      </c>
      <c r="AD20" s="36">
        <v>44652</v>
      </c>
      <c r="AE20" s="29"/>
      <c r="AF20" s="37"/>
      <c r="AG20" s="83"/>
      <c r="AH20" s="83"/>
      <c r="AI20" s="31"/>
      <c r="AJ20" s="31"/>
      <c r="AK20" s="92"/>
      <c r="AL20" s="97">
        <f t="shared" ref="AL20:AL83" si="0">O20-AH20+AG20+AK20</f>
        <v>15984</v>
      </c>
      <c r="AM20" s="83">
        <f>1586.9+1586.9+1586.9+1586.9+1586.9+1586.9+1586.9+1586.9+1586.9+1586.9+1586.9</f>
        <v>17455.899999999998</v>
      </c>
      <c r="AN20" s="83">
        <f>1586.9+1586.9+1586.9</f>
        <v>4760.7000000000007</v>
      </c>
      <c r="AO20" s="82">
        <f t="shared" ref="AO20:AO83" si="1">AM20+AN20</f>
        <v>22216.6</v>
      </c>
    </row>
    <row r="21" spans="1:41" s="1" customFormat="1" ht="25.5" x14ac:dyDescent="0.25">
      <c r="A21" s="18" t="s">
        <v>518</v>
      </c>
      <c r="B21" s="29" t="s">
        <v>119</v>
      </c>
      <c r="C21" s="29" t="s">
        <v>117</v>
      </c>
      <c r="D21" s="30" t="s">
        <v>85</v>
      </c>
      <c r="E21" s="30" t="s">
        <v>86</v>
      </c>
      <c r="F21" s="29" t="s">
        <v>137</v>
      </c>
      <c r="G21" s="34">
        <v>12321</v>
      </c>
      <c r="H21" s="32" t="s">
        <v>116</v>
      </c>
      <c r="I21" s="33">
        <v>43252</v>
      </c>
      <c r="J21" s="33">
        <v>43617</v>
      </c>
      <c r="K21" s="73" t="s">
        <v>118</v>
      </c>
      <c r="L21" s="62" t="s">
        <v>104</v>
      </c>
      <c r="M21" s="29" t="s">
        <v>105</v>
      </c>
      <c r="N21" s="33">
        <v>43252</v>
      </c>
      <c r="O21" s="83">
        <v>35964</v>
      </c>
      <c r="P21" s="34">
        <v>12321</v>
      </c>
      <c r="Q21" s="33">
        <v>43252</v>
      </c>
      <c r="R21" s="33">
        <v>43617</v>
      </c>
      <c r="S21" s="30">
        <v>117</v>
      </c>
      <c r="T21" s="62" t="s">
        <v>118</v>
      </c>
      <c r="U21" s="30" t="s">
        <v>108</v>
      </c>
      <c r="V21" s="83" t="s">
        <v>131</v>
      </c>
      <c r="W21" s="29" t="s">
        <v>109</v>
      </c>
      <c r="X21" s="29" t="s">
        <v>131</v>
      </c>
      <c r="Y21" s="29">
        <v>4</v>
      </c>
      <c r="Z21" s="36">
        <v>44719</v>
      </c>
      <c r="AA21" s="34">
        <v>13314</v>
      </c>
      <c r="AB21" s="29" t="s">
        <v>113</v>
      </c>
      <c r="AC21" s="36">
        <v>44720</v>
      </c>
      <c r="AD21" s="36">
        <v>45084</v>
      </c>
      <c r="AE21" s="29"/>
      <c r="AF21" s="37">
        <v>4.7699999999999999E-2</v>
      </c>
      <c r="AG21" s="83">
        <v>149.78</v>
      </c>
      <c r="AH21" s="83"/>
      <c r="AI21" s="31"/>
      <c r="AJ21" s="31"/>
      <c r="AK21" s="92"/>
      <c r="AL21" s="97">
        <f t="shared" si="0"/>
        <v>36113.78</v>
      </c>
      <c r="AM21" s="92">
        <f>3140.18+3140.18+3140.18+3140.18+3140.18+3140.18+3140.18+3140.18+3140.18</f>
        <v>28261.62</v>
      </c>
      <c r="AN21" s="92">
        <f>3140.18+3140.18+3140.18</f>
        <v>9420.5399999999991</v>
      </c>
      <c r="AO21" s="82">
        <f t="shared" si="1"/>
        <v>37682.159999999996</v>
      </c>
    </row>
    <row r="22" spans="1:41" s="1" customFormat="1" ht="25.5" x14ac:dyDescent="0.25">
      <c r="A22" s="18" t="s">
        <v>519</v>
      </c>
      <c r="B22" s="29" t="s">
        <v>124</v>
      </c>
      <c r="C22" s="29" t="s">
        <v>120</v>
      </c>
      <c r="D22" s="30" t="s">
        <v>87</v>
      </c>
      <c r="E22" s="30" t="s">
        <v>86</v>
      </c>
      <c r="F22" s="29" t="s">
        <v>137</v>
      </c>
      <c r="G22" s="34">
        <v>12311</v>
      </c>
      <c r="H22" s="32" t="s">
        <v>126</v>
      </c>
      <c r="I22" s="33">
        <v>43241</v>
      </c>
      <c r="J22" s="33">
        <v>43606</v>
      </c>
      <c r="K22" s="73" t="s">
        <v>125</v>
      </c>
      <c r="L22" s="62" t="s">
        <v>288</v>
      </c>
      <c r="M22" s="29" t="s">
        <v>106</v>
      </c>
      <c r="N22" s="33">
        <v>43412</v>
      </c>
      <c r="O22" s="83">
        <v>18000</v>
      </c>
      <c r="P22" s="34">
        <v>12429</v>
      </c>
      <c r="Q22" s="33">
        <v>43412</v>
      </c>
      <c r="R22" s="33">
        <v>43412</v>
      </c>
      <c r="S22" s="30">
        <v>117</v>
      </c>
      <c r="T22" s="62" t="s">
        <v>125</v>
      </c>
      <c r="U22" s="30" t="s">
        <v>123</v>
      </c>
      <c r="V22" s="83" t="s">
        <v>131</v>
      </c>
      <c r="W22" s="29" t="s">
        <v>110</v>
      </c>
      <c r="X22" s="29" t="s">
        <v>131</v>
      </c>
      <c r="Y22" s="29">
        <v>3</v>
      </c>
      <c r="Z22" s="36">
        <v>44505</v>
      </c>
      <c r="AA22" s="34">
        <v>13163</v>
      </c>
      <c r="AB22" s="29" t="s">
        <v>113</v>
      </c>
      <c r="AC22" s="36">
        <v>44509</v>
      </c>
      <c r="AD22" s="36">
        <v>44873</v>
      </c>
      <c r="AE22" s="29"/>
      <c r="AF22" s="29"/>
      <c r="AG22" s="83"/>
      <c r="AH22" s="83"/>
      <c r="AI22" s="31"/>
      <c r="AJ22" s="31"/>
      <c r="AK22" s="92"/>
      <c r="AL22" s="97">
        <f t="shared" si="0"/>
        <v>18000</v>
      </c>
      <c r="AM22" s="92">
        <f>1800.69+1800.69+1800.69+1800.69+1800.69+1800.69+1800.69+1800.69+1800.69</f>
        <v>16206.210000000003</v>
      </c>
      <c r="AN22" s="92"/>
      <c r="AO22" s="82">
        <f t="shared" si="1"/>
        <v>16206.210000000003</v>
      </c>
    </row>
    <row r="23" spans="1:41" s="1" customFormat="1" ht="51" x14ac:dyDescent="0.25">
      <c r="A23" s="18" t="s">
        <v>520</v>
      </c>
      <c r="B23" s="29" t="s">
        <v>140</v>
      </c>
      <c r="C23" s="7" t="s">
        <v>141</v>
      </c>
      <c r="D23" s="30" t="s">
        <v>87</v>
      </c>
      <c r="E23" s="30" t="s">
        <v>86</v>
      </c>
      <c r="F23" s="29" t="s">
        <v>143</v>
      </c>
      <c r="G23" s="34" t="s">
        <v>131</v>
      </c>
      <c r="H23" s="32" t="s">
        <v>142</v>
      </c>
      <c r="I23" s="33" t="s">
        <v>131</v>
      </c>
      <c r="J23" s="33" t="s">
        <v>131</v>
      </c>
      <c r="K23" s="73" t="s">
        <v>139</v>
      </c>
      <c r="L23" s="62" t="s">
        <v>129</v>
      </c>
      <c r="M23" s="29" t="s">
        <v>130</v>
      </c>
      <c r="N23" s="33">
        <v>43551</v>
      </c>
      <c r="O23" s="83">
        <v>400256.4</v>
      </c>
      <c r="P23" s="34">
        <v>12784</v>
      </c>
      <c r="Q23" s="33">
        <v>43928</v>
      </c>
      <c r="R23" s="33">
        <v>44292</v>
      </c>
      <c r="S23" s="30">
        <v>101</v>
      </c>
      <c r="T23" s="88" t="s">
        <v>139</v>
      </c>
      <c r="U23" s="30" t="s">
        <v>123</v>
      </c>
      <c r="V23" s="83" t="s">
        <v>131</v>
      </c>
      <c r="W23" s="29" t="s">
        <v>110</v>
      </c>
      <c r="X23" s="29" t="s">
        <v>131</v>
      </c>
      <c r="Y23" s="29">
        <v>2</v>
      </c>
      <c r="Z23" s="36">
        <v>44285</v>
      </c>
      <c r="AA23" s="38">
        <v>13013</v>
      </c>
      <c r="AB23" s="31" t="s">
        <v>113</v>
      </c>
      <c r="AC23" s="39">
        <v>44293</v>
      </c>
      <c r="AD23" s="39">
        <v>44657</v>
      </c>
      <c r="AE23" s="31"/>
      <c r="AF23" s="31"/>
      <c r="AG23" s="92"/>
      <c r="AH23" s="92"/>
      <c r="AI23" s="31"/>
      <c r="AJ23" s="31"/>
      <c r="AK23" s="92"/>
      <c r="AL23" s="97">
        <f t="shared" si="0"/>
        <v>400256.4</v>
      </c>
      <c r="AM23" s="92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3" s="92">
        <f>15000+1757.33+10000+8000+10000+25000+11020.21+1742.35+1131.31+12237.44</f>
        <v>95888.640000000014</v>
      </c>
      <c r="AO23" s="82">
        <f t="shared" si="1"/>
        <v>497732.69999999995</v>
      </c>
    </row>
    <row r="24" spans="1:41" s="1" customFormat="1" ht="25.5" x14ac:dyDescent="0.25">
      <c r="A24" s="18" t="s">
        <v>521</v>
      </c>
      <c r="B24" s="29" t="s">
        <v>149</v>
      </c>
      <c r="C24" s="29" t="s">
        <v>153</v>
      </c>
      <c r="D24" s="30" t="s">
        <v>87</v>
      </c>
      <c r="E24" s="30" t="s">
        <v>92</v>
      </c>
      <c r="F24" s="29" t="s">
        <v>152</v>
      </c>
      <c r="G24" s="34">
        <v>12375</v>
      </c>
      <c r="H24" s="32" t="s">
        <v>155</v>
      </c>
      <c r="I24" s="33">
        <v>43301</v>
      </c>
      <c r="J24" s="33">
        <v>43666</v>
      </c>
      <c r="K24" s="73" t="s">
        <v>150</v>
      </c>
      <c r="L24" s="62" t="s">
        <v>147</v>
      </c>
      <c r="M24" s="29" t="s">
        <v>148</v>
      </c>
      <c r="N24" s="33">
        <v>43301</v>
      </c>
      <c r="O24" s="83">
        <v>235600.8</v>
      </c>
      <c r="P24" s="34">
        <v>12375</v>
      </c>
      <c r="Q24" s="33">
        <v>43305</v>
      </c>
      <c r="R24" s="33">
        <v>43670</v>
      </c>
      <c r="S24" s="30">
        <v>101</v>
      </c>
      <c r="T24" s="88" t="s">
        <v>150</v>
      </c>
      <c r="U24" s="30" t="s">
        <v>123</v>
      </c>
      <c r="V24" s="83" t="s">
        <v>131</v>
      </c>
      <c r="W24" s="29" t="s">
        <v>110</v>
      </c>
      <c r="X24" s="29" t="s">
        <v>131</v>
      </c>
      <c r="Y24" s="29">
        <v>4</v>
      </c>
      <c r="Z24" s="36">
        <v>44400</v>
      </c>
      <c r="AA24" s="38">
        <v>13099</v>
      </c>
      <c r="AB24" s="31" t="s">
        <v>113</v>
      </c>
      <c r="AC24" s="36">
        <v>44402</v>
      </c>
      <c r="AD24" s="36">
        <v>44766</v>
      </c>
      <c r="AE24" s="31"/>
      <c r="AF24" s="31"/>
      <c r="AG24" s="92"/>
      <c r="AH24" s="92"/>
      <c r="AI24" s="31"/>
      <c r="AJ24" s="31"/>
      <c r="AK24" s="92"/>
      <c r="AL24" s="97">
        <f t="shared" si="0"/>
        <v>235600.8</v>
      </c>
      <c r="AM24" s="83">
        <f>20869.8+6715.04+14154.76+8647.95+1629.14+6715.04+15343.4+20688.63+17149.99+17149.99+6715.06+6715.06+9074.18+10253.76+10253.76</f>
        <v>172075.56000000003</v>
      </c>
      <c r="AN24" s="83">
        <f>8012.58+6715.06+6715.06+6715.06+6715.06</f>
        <v>34872.82</v>
      </c>
      <c r="AO24" s="82">
        <f t="shared" si="1"/>
        <v>206948.38000000003</v>
      </c>
    </row>
    <row r="25" spans="1:41" s="1" customFormat="1" ht="25.5" x14ac:dyDescent="0.25">
      <c r="A25" s="18" t="s">
        <v>522</v>
      </c>
      <c r="B25" s="29" t="s">
        <v>308</v>
      </c>
      <c r="C25" s="29" t="s">
        <v>236</v>
      </c>
      <c r="D25" s="30" t="s">
        <v>87</v>
      </c>
      <c r="E25" s="30" t="s">
        <v>92</v>
      </c>
      <c r="F25" s="29" t="s">
        <v>152</v>
      </c>
      <c r="G25" s="34">
        <v>12376</v>
      </c>
      <c r="H25" s="32" t="s">
        <v>230</v>
      </c>
      <c r="I25" s="33"/>
      <c r="J25" s="33"/>
      <c r="K25" s="73" t="s">
        <v>307</v>
      </c>
      <c r="L25" s="62" t="s">
        <v>147</v>
      </c>
      <c r="M25" s="29" t="s">
        <v>321</v>
      </c>
      <c r="N25" s="33">
        <v>44237</v>
      </c>
      <c r="O25" s="83">
        <v>1995152.04</v>
      </c>
      <c r="P25" s="34">
        <v>12983</v>
      </c>
      <c r="Q25" s="33">
        <v>44237</v>
      </c>
      <c r="R25" s="33">
        <v>44601</v>
      </c>
      <c r="S25" s="30" t="s">
        <v>197</v>
      </c>
      <c r="T25" s="88" t="s">
        <v>307</v>
      </c>
      <c r="U25" s="30" t="s">
        <v>123</v>
      </c>
      <c r="V25" s="83" t="s">
        <v>131</v>
      </c>
      <c r="W25" s="29" t="s">
        <v>322</v>
      </c>
      <c r="X25" s="29" t="s">
        <v>131</v>
      </c>
      <c r="Y25" s="29">
        <v>2</v>
      </c>
      <c r="Z25" s="33">
        <v>44600</v>
      </c>
      <c r="AA25" s="34">
        <v>13233</v>
      </c>
      <c r="AB25" s="31" t="s">
        <v>113</v>
      </c>
      <c r="AC25" s="33">
        <v>44603</v>
      </c>
      <c r="AD25" s="33">
        <v>44967</v>
      </c>
      <c r="AE25" s="29">
        <v>25</v>
      </c>
      <c r="AF25" s="29"/>
      <c r="AG25" s="83"/>
      <c r="AH25" s="83"/>
      <c r="AI25" s="29"/>
      <c r="AJ25" s="29"/>
      <c r="AK25" s="83"/>
      <c r="AL25" s="97">
        <f t="shared" si="0"/>
        <v>1995152.04</v>
      </c>
      <c r="AM25" s="83">
        <f>42980.25+77917.44+86591.33+88192.93+3919.41+37385.08+13402.03+2536.34+6455.75+20902.77+54597.09+55630.43+6737.57+2818.16+19219.47+19219.47+24445.35+6737.57+34494.72+57347.34+39229.12</f>
        <v>700759.61999999988</v>
      </c>
      <c r="AN25" s="83">
        <f>39229.12+28673.67+23138.88+62368+28673.67+65733.1+28673.67+25957.04+71720.67+37744.51+20523.78+96996.9+5433.26</f>
        <v>534866.27</v>
      </c>
      <c r="AO25" s="82">
        <f t="shared" si="1"/>
        <v>1235625.8899999999</v>
      </c>
    </row>
    <row r="26" spans="1:41" s="1" customFormat="1" ht="25.5" x14ac:dyDescent="0.25">
      <c r="A26" s="18" t="s">
        <v>523</v>
      </c>
      <c r="B26" s="29" t="s">
        <v>149</v>
      </c>
      <c r="C26" s="29" t="s">
        <v>153</v>
      </c>
      <c r="D26" s="30" t="s">
        <v>87</v>
      </c>
      <c r="E26" s="30" t="s">
        <v>86</v>
      </c>
      <c r="F26" s="29" t="s">
        <v>152</v>
      </c>
      <c r="G26" s="32" t="s">
        <v>156</v>
      </c>
      <c r="H26" s="32" t="s">
        <v>157</v>
      </c>
      <c r="I26" s="40">
        <v>43301</v>
      </c>
      <c r="J26" s="41">
        <v>43666</v>
      </c>
      <c r="K26" s="18" t="s">
        <v>146</v>
      </c>
      <c r="L26" s="64" t="s">
        <v>278</v>
      </c>
      <c r="M26" s="33" t="s">
        <v>151</v>
      </c>
      <c r="N26" s="33">
        <v>43305</v>
      </c>
      <c r="O26" s="84">
        <v>174322.08</v>
      </c>
      <c r="P26" s="34">
        <v>12602</v>
      </c>
      <c r="Q26" s="33">
        <v>43306</v>
      </c>
      <c r="R26" s="33">
        <v>43671</v>
      </c>
      <c r="S26" s="30">
        <v>101</v>
      </c>
      <c r="T26" s="88" t="s">
        <v>146</v>
      </c>
      <c r="U26" s="30" t="s">
        <v>123</v>
      </c>
      <c r="V26" s="83" t="s">
        <v>131</v>
      </c>
      <c r="W26" s="29" t="s">
        <v>110</v>
      </c>
      <c r="X26" s="29" t="s">
        <v>131</v>
      </c>
      <c r="Y26" s="29">
        <v>3</v>
      </c>
      <c r="Z26" s="36">
        <v>44370</v>
      </c>
      <c r="AA26" s="38">
        <v>13099</v>
      </c>
      <c r="AB26" s="31" t="s">
        <v>113</v>
      </c>
      <c r="AC26" s="36">
        <v>44372</v>
      </c>
      <c r="AD26" s="36">
        <v>44736</v>
      </c>
      <c r="AE26" s="31" t="s">
        <v>131</v>
      </c>
      <c r="AF26" s="31"/>
      <c r="AG26" s="92"/>
      <c r="AH26" s="92"/>
      <c r="AI26" s="31"/>
      <c r="AJ26" s="31"/>
      <c r="AK26" s="92"/>
      <c r="AL26" s="97">
        <f t="shared" si="0"/>
        <v>174322.08</v>
      </c>
      <c r="AM26" s="92">
        <f>2421.14+2986.07+14526.84+14526.84+12912.75+12105.68+13639.09+2421.14+2421.14+2421.14+2421.14+2421.14+2501.84</f>
        <v>87725.95</v>
      </c>
      <c r="AN26" s="92"/>
      <c r="AO26" s="82">
        <f t="shared" si="1"/>
        <v>87725.95</v>
      </c>
    </row>
    <row r="27" spans="1:41" s="1" customFormat="1" ht="63.75" x14ac:dyDescent="0.25">
      <c r="A27" s="18" t="s">
        <v>524</v>
      </c>
      <c r="B27" s="29" t="s">
        <v>163</v>
      </c>
      <c r="C27" s="7" t="s">
        <v>159</v>
      </c>
      <c r="D27" s="30" t="s">
        <v>87</v>
      </c>
      <c r="E27" s="30" t="s">
        <v>86</v>
      </c>
      <c r="F27" s="29" t="s">
        <v>162</v>
      </c>
      <c r="G27" s="34" t="s">
        <v>131</v>
      </c>
      <c r="H27" s="32" t="s">
        <v>160</v>
      </c>
      <c r="I27" s="33" t="s">
        <v>131</v>
      </c>
      <c r="J27" s="33" t="s">
        <v>131</v>
      </c>
      <c r="K27" s="73" t="s">
        <v>164</v>
      </c>
      <c r="L27" s="62" t="s">
        <v>158</v>
      </c>
      <c r="M27" s="29" t="s">
        <v>161</v>
      </c>
      <c r="N27" s="33">
        <v>43644</v>
      </c>
      <c r="O27" s="83">
        <v>250000</v>
      </c>
      <c r="P27" s="34">
        <v>12587</v>
      </c>
      <c r="Q27" s="33">
        <v>43644</v>
      </c>
      <c r="R27" s="42">
        <v>44010</v>
      </c>
      <c r="S27" s="30">
        <v>101</v>
      </c>
      <c r="T27" s="88" t="s">
        <v>164</v>
      </c>
      <c r="U27" s="30" t="s">
        <v>123</v>
      </c>
      <c r="V27" s="83" t="s">
        <v>131</v>
      </c>
      <c r="W27" s="29" t="s">
        <v>110</v>
      </c>
      <c r="X27" s="29" t="s">
        <v>131</v>
      </c>
      <c r="Y27" s="29">
        <v>3</v>
      </c>
      <c r="Z27" s="33">
        <v>44739</v>
      </c>
      <c r="AA27" s="34">
        <v>13322</v>
      </c>
      <c r="AB27" s="29" t="s">
        <v>113</v>
      </c>
      <c r="AC27" s="36">
        <v>44741</v>
      </c>
      <c r="AD27" s="36">
        <v>44801</v>
      </c>
      <c r="AE27" s="29" t="s">
        <v>131</v>
      </c>
      <c r="AF27" s="29"/>
      <c r="AG27" s="83"/>
      <c r="AH27" s="83"/>
      <c r="AI27" s="29"/>
      <c r="AJ27" s="29"/>
      <c r="AK27" s="83"/>
      <c r="AL27" s="97">
        <f t="shared" si="0"/>
        <v>250000</v>
      </c>
      <c r="AM27" s="92">
        <f>33531.56+35974.86</f>
        <v>69506.42</v>
      </c>
      <c r="AN27" s="92"/>
      <c r="AO27" s="82">
        <f t="shared" si="1"/>
        <v>69506.42</v>
      </c>
    </row>
    <row r="28" spans="1:41" s="1" customFormat="1" ht="25.5" x14ac:dyDescent="0.25">
      <c r="A28" s="18" t="s">
        <v>525</v>
      </c>
      <c r="B28" s="29" t="s">
        <v>168</v>
      </c>
      <c r="C28" s="7" t="s">
        <v>169</v>
      </c>
      <c r="D28" s="30" t="s">
        <v>87</v>
      </c>
      <c r="E28" s="30" t="s">
        <v>86</v>
      </c>
      <c r="F28" s="29" t="s">
        <v>170</v>
      </c>
      <c r="G28" s="34" t="s">
        <v>131</v>
      </c>
      <c r="H28" s="32" t="s">
        <v>154</v>
      </c>
      <c r="I28" s="33" t="s">
        <v>131</v>
      </c>
      <c r="J28" s="33" t="s">
        <v>131</v>
      </c>
      <c r="K28" s="73" t="s">
        <v>166</v>
      </c>
      <c r="L28" s="62" t="s">
        <v>167</v>
      </c>
      <c r="M28" s="29" t="s">
        <v>171</v>
      </c>
      <c r="N28" s="33">
        <v>43662</v>
      </c>
      <c r="O28" s="83">
        <v>31104.04</v>
      </c>
      <c r="P28" s="34">
        <v>12596</v>
      </c>
      <c r="Q28" s="33">
        <v>43663</v>
      </c>
      <c r="R28" s="43">
        <v>44029</v>
      </c>
      <c r="S28" s="29">
        <v>117</v>
      </c>
      <c r="T28" s="62" t="s">
        <v>166</v>
      </c>
      <c r="U28" s="30" t="s">
        <v>123</v>
      </c>
      <c r="V28" s="83" t="s">
        <v>131</v>
      </c>
      <c r="W28" s="29" t="s">
        <v>110</v>
      </c>
      <c r="X28" s="29" t="s">
        <v>131</v>
      </c>
      <c r="Y28" s="29">
        <v>2</v>
      </c>
      <c r="Z28" s="33">
        <v>44347</v>
      </c>
      <c r="AA28" s="34">
        <v>13065</v>
      </c>
      <c r="AB28" s="33" t="s">
        <v>113</v>
      </c>
      <c r="AC28" s="36">
        <v>44365</v>
      </c>
      <c r="AD28" s="36">
        <v>44759</v>
      </c>
      <c r="AE28" s="44" t="s">
        <v>131</v>
      </c>
      <c r="AF28" s="29"/>
      <c r="AG28" s="83"/>
      <c r="AH28" s="83"/>
      <c r="AI28" s="29"/>
      <c r="AJ28" s="29"/>
      <c r="AK28" s="83"/>
      <c r="AL28" s="97">
        <f t="shared" si="0"/>
        <v>31104.04</v>
      </c>
      <c r="AM28" s="92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8" s="92">
        <f>23482.6+17024.89+27200.68+23482.6+23482.6+29353.25+17611.95+97844.18+17611.95</f>
        <v>277094.7</v>
      </c>
      <c r="AO28" s="82">
        <f t="shared" si="1"/>
        <v>1070465.2699999998</v>
      </c>
    </row>
    <row r="29" spans="1:41" s="1" customFormat="1" ht="25.5" x14ac:dyDescent="0.25">
      <c r="A29" s="18" t="s">
        <v>526</v>
      </c>
      <c r="B29" s="29" t="s">
        <v>174</v>
      </c>
      <c r="C29" s="7" t="s">
        <v>89</v>
      </c>
      <c r="D29" s="30" t="s">
        <v>87</v>
      </c>
      <c r="E29" s="30" t="s">
        <v>86</v>
      </c>
      <c r="F29" s="29" t="s">
        <v>177</v>
      </c>
      <c r="G29" s="34" t="s">
        <v>131</v>
      </c>
      <c r="H29" s="32" t="s">
        <v>131</v>
      </c>
      <c r="I29" s="33" t="s">
        <v>131</v>
      </c>
      <c r="J29" s="33" t="s">
        <v>131</v>
      </c>
      <c r="K29" s="74" t="s">
        <v>172</v>
      </c>
      <c r="L29" s="62" t="s">
        <v>313</v>
      </c>
      <c r="M29" s="29" t="s">
        <v>175</v>
      </c>
      <c r="N29" s="33">
        <v>42368</v>
      </c>
      <c r="O29" s="83">
        <v>36000</v>
      </c>
      <c r="P29" s="34" t="s">
        <v>131</v>
      </c>
      <c r="Q29" s="33">
        <v>42368</v>
      </c>
      <c r="R29" s="33">
        <v>42733</v>
      </c>
      <c r="S29" s="29">
        <v>101</v>
      </c>
      <c r="T29" s="62" t="s">
        <v>172</v>
      </c>
      <c r="U29" s="30" t="s">
        <v>123</v>
      </c>
      <c r="V29" s="83" t="s">
        <v>131</v>
      </c>
      <c r="W29" s="29" t="s">
        <v>110</v>
      </c>
      <c r="X29" s="29" t="s">
        <v>131</v>
      </c>
      <c r="Y29" s="29">
        <v>7</v>
      </c>
      <c r="Z29" s="33">
        <v>44553</v>
      </c>
      <c r="AA29" s="34">
        <v>13197</v>
      </c>
      <c r="AB29" s="29" t="s">
        <v>113</v>
      </c>
      <c r="AC29" s="36">
        <v>44559</v>
      </c>
      <c r="AD29" s="36">
        <v>44923</v>
      </c>
      <c r="AE29" s="29" t="s">
        <v>131</v>
      </c>
      <c r="AF29" s="29"/>
      <c r="AG29" s="83"/>
      <c r="AH29" s="83"/>
      <c r="AI29" s="29"/>
      <c r="AJ29" s="29"/>
      <c r="AK29" s="83"/>
      <c r="AL29" s="97">
        <f t="shared" si="0"/>
        <v>36000</v>
      </c>
      <c r="AM29" s="92">
        <f>3129.34+3129.34+3129.34+3129.34+3129.34+3129.34+3129.34+3129.34+3129.34+3129.34+3129.34+3129.34</f>
        <v>37552.080000000002</v>
      </c>
      <c r="AN29" s="92">
        <f>3129.34+3129.34+3129.34+3129.34+3129.34+3129.34</f>
        <v>18776.04</v>
      </c>
      <c r="AO29" s="82">
        <f t="shared" si="1"/>
        <v>56328.12</v>
      </c>
    </row>
    <row r="30" spans="1:41" s="1" customFormat="1" ht="25.5" x14ac:dyDescent="0.25">
      <c r="A30" s="18" t="s">
        <v>325</v>
      </c>
      <c r="B30" s="29" t="s">
        <v>193</v>
      </c>
      <c r="C30" s="29" t="s">
        <v>194</v>
      </c>
      <c r="D30" s="45" t="s">
        <v>87</v>
      </c>
      <c r="E30" s="45" t="s">
        <v>86</v>
      </c>
      <c r="F30" s="29" t="s">
        <v>188</v>
      </c>
      <c r="G30" s="46">
        <v>12654</v>
      </c>
      <c r="H30" s="47" t="s">
        <v>199</v>
      </c>
      <c r="I30" s="40" t="s">
        <v>131</v>
      </c>
      <c r="J30" s="40" t="s">
        <v>131</v>
      </c>
      <c r="K30" s="74" t="s">
        <v>183</v>
      </c>
      <c r="L30" s="63" t="s">
        <v>184</v>
      </c>
      <c r="M30" s="7" t="s">
        <v>185</v>
      </c>
      <c r="N30" s="40">
        <v>43747</v>
      </c>
      <c r="O30" s="85">
        <v>762648</v>
      </c>
      <c r="P30" s="46">
        <v>12654</v>
      </c>
      <c r="Q30" s="40">
        <v>43747</v>
      </c>
      <c r="R30" s="40">
        <v>44113</v>
      </c>
      <c r="S30" s="45">
        <v>101</v>
      </c>
      <c r="T30" s="63" t="s">
        <v>183</v>
      </c>
      <c r="U30" s="7" t="s">
        <v>189</v>
      </c>
      <c r="V30" s="85" t="s">
        <v>131</v>
      </c>
      <c r="W30" s="7" t="s">
        <v>110</v>
      </c>
      <c r="X30" s="7" t="s">
        <v>131</v>
      </c>
      <c r="Y30" s="7">
        <v>3</v>
      </c>
      <c r="Z30" s="40">
        <v>44477</v>
      </c>
      <c r="AA30" s="46">
        <v>13149</v>
      </c>
      <c r="AB30" s="40" t="s">
        <v>138</v>
      </c>
      <c r="AC30" s="39">
        <v>44478</v>
      </c>
      <c r="AD30" s="39">
        <v>44842</v>
      </c>
      <c r="AE30" s="7" t="s">
        <v>131</v>
      </c>
      <c r="AF30" s="7"/>
      <c r="AG30" s="85"/>
      <c r="AH30" s="85"/>
      <c r="AI30" s="7"/>
      <c r="AJ30" s="7"/>
      <c r="AK30" s="85"/>
      <c r="AL30" s="97">
        <f t="shared" si="0"/>
        <v>762648</v>
      </c>
      <c r="AM30" s="92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0" s="92">
        <f>21297.66+17748.05+7099.22+7099.22+17748.05+21297.66+7099.22+17748.05+21297.66+14198.44+21297.66+7099.22+10648.83+7099.22+14198.44+10648.83</f>
        <v>223625.43</v>
      </c>
      <c r="AO30" s="82">
        <f t="shared" si="1"/>
        <v>754653.50999999978</v>
      </c>
    </row>
    <row r="31" spans="1:41" s="1" customFormat="1" ht="25.5" x14ac:dyDescent="0.25">
      <c r="A31" s="18" t="s">
        <v>326</v>
      </c>
      <c r="B31" s="29" t="s">
        <v>186</v>
      </c>
      <c r="C31" s="29" t="s">
        <v>187</v>
      </c>
      <c r="D31" s="45" t="s">
        <v>87</v>
      </c>
      <c r="E31" s="45" t="s">
        <v>86</v>
      </c>
      <c r="F31" s="29" t="s">
        <v>188</v>
      </c>
      <c r="G31" s="46" t="s">
        <v>131</v>
      </c>
      <c r="H31" s="47" t="s">
        <v>198</v>
      </c>
      <c r="I31" s="40" t="s">
        <v>131</v>
      </c>
      <c r="J31" s="40" t="s">
        <v>131</v>
      </c>
      <c r="K31" s="74" t="s">
        <v>179</v>
      </c>
      <c r="L31" s="63" t="s">
        <v>145</v>
      </c>
      <c r="M31" s="7" t="s">
        <v>180</v>
      </c>
      <c r="N31" s="40">
        <v>44344</v>
      </c>
      <c r="O31" s="85">
        <v>1098144.57</v>
      </c>
      <c r="P31" s="46">
        <v>12568</v>
      </c>
      <c r="Q31" s="40">
        <v>44348</v>
      </c>
      <c r="R31" s="40">
        <v>44712</v>
      </c>
      <c r="S31" s="45">
        <v>101</v>
      </c>
      <c r="T31" s="63" t="s">
        <v>179</v>
      </c>
      <c r="U31" s="7" t="s">
        <v>189</v>
      </c>
      <c r="V31" s="85" t="s">
        <v>131</v>
      </c>
      <c r="W31" s="7" t="s">
        <v>110</v>
      </c>
      <c r="X31" s="7" t="s">
        <v>131</v>
      </c>
      <c r="Y31" s="48">
        <v>5</v>
      </c>
      <c r="Z31" s="40">
        <v>44712</v>
      </c>
      <c r="AA31" s="46">
        <v>13303</v>
      </c>
      <c r="AB31" s="7" t="s">
        <v>113</v>
      </c>
      <c r="AC31" s="39">
        <v>44713</v>
      </c>
      <c r="AD31" s="39">
        <v>45077</v>
      </c>
      <c r="AE31" s="49">
        <v>0.05</v>
      </c>
      <c r="AF31" s="7"/>
      <c r="AG31" s="85"/>
      <c r="AH31" s="85"/>
      <c r="AI31" s="7"/>
      <c r="AJ31" s="7"/>
      <c r="AK31" s="85"/>
      <c r="AL31" s="97">
        <f t="shared" si="0"/>
        <v>1098144.57</v>
      </c>
      <c r="AM31" s="92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1" s="92">
        <f>12541.64+43895.74+21947.87+12541.64+9406.23+21947.87+12541.64+9406.23+49330.45+12541.64+12541.64+48807.88+12541.64+9406.23+21947.87+9406.23+12541.64+12541.64+21947.87+3135.41+12541.64+9406.23+12541.64+75249.84+18812.46</f>
        <v>499470.81</v>
      </c>
      <c r="AO31" s="82">
        <f t="shared" si="1"/>
        <v>1571249.71</v>
      </c>
    </row>
    <row r="32" spans="1:41" s="1" customFormat="1" ht="25.5" x14ac:dyDescent="0.25">
      <c r="A32" s="18" t="s">
        <v>527</v>
      </c>
      <c r="B32" s="7" t="s">
        <v>131</v>
      </c>
      <c r="C32" s="29" t="s">
        <v>190</v>
      </c>
      <c r="D32" s="45" t="s">
        <v>87</v>
      </c>
      <c r="E32" s="45" t="s">
        <v>86</v>
      </c>
      <c r="F32" s="29" t="s">
        <v>188</v>
      </c>
      <c r="G32" s="46" t="s">
        <v>131</v>
      </c>
      <c r="H32" s="47" t="s">
        <v>195</v>
      </c>
      <c r="I32" s="40" t="s">
        <v>131</v>
      </c>
      <c r="J32" s="40" t="s">
        <v>131</v>
      </c>
      <c r="K32" s="74" t="s">
        <v>182</v>
      </c>
      <c r="L32" s="63" t="s">
        <v>145</v>
      </c>
      <c r="M32" s="7" t="s">
        <v>180</v>
      </c>
      <c r="N32" s="40">
        <v>43616</v>
      </c>
      <c r="O32" s="83">
        <v>325884</v>
      </c>
      <c r="P32" s="34">
        <v>12602</v>
      </c>
      <c r="Q32" s="33">
        <v>43661</v>
      </c>
      <c r="R32" s="33">
        <v>43997</v>
      </c>
      <c r="S32" s="30">
        <v>101</v>
      </c>
      <c r="T32" s="63" t="s">
        <v>182</v>
      </c>
      <c r="U32" s="7" t="s">
        <v>189</v>
      </c>
      <c r="V32" s="85" t="s">
        <v>131</v>
      </c>
      <c r="W32" s="7" t="s">
        <v>110</v>
      </c>
      <c r="X32" s="7" t="s">
        <v>131</v>
      </c>
      <c r="Y32" s="7">
        <v>3</v>
      </c>
      <c r="Z32" s="40">
        <v>44391</v>
      </c>
      <c r="AA32" s="46">
        <v>13087</v>
      </c>
      <c r="AB32" s="7" t="s">
        <v>114</v>
      </c>
      <c r="AC32" s="39">
        <v>44393</v>
      </c>
      <c r="AD32" s="39">
        <v>44757</v>
      </c>
      <c r="AE32" s="7" t="s">
        <v>131</v>
      </c>
      <c r="AF32" s="7"/>
      <c r="AG32" s="85"/>
      <c r="AH32" s="85"/>
      <c r="AI32" s="7"/>
      <c r="AJ32" s="7"/>
      <c r="AK32" s="85"/>
      <c r="AL32" s="97">
        <f t="shared" si="0"/>
        <v>325884</v>
      </c>
      <c r="AM32" s="92">
        <f>19392.59+15262.03+8401.12+9241.22+6300.84+2009.93+15887.35+11761.56+27306.41+29788.8+4302.82+9929.6+7447.2+2482.4+9929.6+2482.4+9929.6+7447.2+2482.4+7447.2+9929.6+7447.2+12412</f>
        <v>239021.07000000007</v>
      </c>
      <c r="AN32" s="92">
        <f>12412+7447.2+4964.8+12412+12412+4964.8+12412+4964.8+4964.8+12412</f>
        <v>89366.400000000009</v>
      </c>
      <c r="AO32" s="82">
        <f t="shared" si="1"/>
        <v>328387.47000000009</v>
      </c>
    </row>
    <row r="33" spans="1:41" s="1" customFormat="1" ht="38.25" x14ac:dyDescent="0.25">
      <c r="A33" s="18" t="s">
        <v>528</v>
      </c>
      <c r="B33" s="29" t="s">
        <v>191</v>
      </c>
      <c r="C33" s="29" t="s">
        <v>192</v>
      </c>
      <c r="D33" s="45" t="s">
        <v>87</v>
      </c>
      <c r="E33" s="45" t="s">
        <v>86</v>
      </c>
      <c r="F33" s="29" t="s">
        <v>107</v>
      </c>
      <c r="G33" s="46" t="s">
        <v>131</v>
      </c>
      <c r="H33" s="47" t="s">
        <v>196</v>
      </c>
      <c r="I33" s="40" t="s">
        <v>131</v>
      </c>
      <c r="J33" s="40">
        <v>0</v>
      </c>
      <c r="K33" s="74" t="s">
        <v>181</v>
      </c>
      <c r="L33" s="63" t="s">
        <v>145</v>
      </c>
      <c r="M33" s="7" t="s">
        <v>180</v>
      </c>
      <c r="N33" s="40" t="s">
        <v>131</v>
      </c>
      <c r="O33" s="85">
        <v>239468.98</v>
      </c>
      <c r="P33" s="46">
        <v>12632</v>
      </c>
      <c r="Q33" s="40" t="s">
        <v>131</v>
      </c>
      <c r="R33" s="40" t="s">
        <v>131</v>
      </c>
      <c r="S33" s="45" t="s">
        <v>197</v>
      </c>
      <c r="T33" s="63" t="s">
        <v>181</v>
      </c>
      <c r="U33" s="7" t="s">
        <v>189</v>
      </c>
      <c r="V33" s="85" t="s">
        <v>131</v>
      </c>
      <c r="W33" s="7" t="s">
        <v>110</v>
      </c>
      <c r="X33" s="7" t="s">
        <v>131</v>
      </c>
      <c r="Y33" s="7">
        <v>4</v>
      </c>
      <c r="Z33" s="40">
        <v>44593</v>
      </c>
      <c r="AA33" s="46">
        <v>13228</v>
      </c>
      <c r="AB33" s="7" t="s">
        <v>299</v>
      </c>
      <c r="AC33" s="40">
        <v>44439</v>
      </c>
      <c r="AD33" s="40">
        <v>44803</v>
      </c>
      <c r="AE33" s="7" t="s">
        <v>131</v>
      </c>
      <c r="AF33" s="7"/>
      <c r="AG33" s="85"/>
      <c r="AH33" s="85"/>
      <c r="AI33" s="7"/>
      <c r="AJ33" s="7"/>
      <c r="AK33" s="85"/>
      <c r="AL33" s="97">
        <f t="shared" si="0"/>
        <v>239468.98</v>
      </c>
      <c r="AM33" s="92">
        <f>8062.8+8888.13+13233.47+20738.94+20738.97+20738.96+20738.96+11850.84+11850.84+11850.84+11850.84+11850.84</f>
        <v>172394.42999999996</v>
      </c>
      <c r="AN33" s="92">
        <f>11850.84+15219.19+15552.46+16663.35+16663.35</f>
        <v>75949.19</v>
      </c>
      <c r="AO33" s="82">
        <f t="shared" si="1"/>
        <v>248343.61999999997</v>
      </c>
    </row>
    <row r="34" spans="1:41" s="1" customFormat="1" ht="38.25" x14ac:dyDescent="0.25">
      <c r="A34" s="18" t="s">
        <v>327</v>
      </c>
      <c r="B34" s="29" t="s">
        <v>201</v>
      </c>
      <c r="C34" s="29" t="s">
        <v>131</v>
      </c>
      <c r="D34" s="45" t="s">
        <v>87</v>
      </c>
      <c r="E34" s="45" t="s">
        <v>86</v>
      </c>
      <c r="F34" s="29" t="s">
        <v>202</v>
      </c>
      <c r="G34" s="46" t="s">
        <v>131</v>
      </c>
      <c r="H34" s="46" t="s">
        <v>131</v>
      </c>
      <c r="I34" s="46" t="s">
        <v>131</v>
      </c>
      <c r="J34" s="46" t="s">
        <v>131</v>
      </c>
      <c r="K34" s="74" t="s">
        <v>200</v>
      </c>
      <c r="L34" s="63" t="s">
        <v>98</v>
      </c>
      <c r="M34" s="7" t="s">
        <v>99</v>
      </c>
      <c r="N34" s="40">
        <v>43739</v>
      </c>
      <c r="O34" s="85">
        <v>144000</v>
      </c>
      <c r="P34" s="46">
        <v>12653</v>
      </c>
      <c r="Q34" s="40">
        <v>43739</v>
      </c>
      <c r="R34" s="40">
        <v>44105</v>
      </c>
      <c r="S34" s="45">
        <v>117</v>
      </c>
      <c r="T34" s="63" t="s">
        <v>200</v>
      </c>
      <c r="U34" s="7" t="s">
        <v>189</v>
      </c>
      <c r="V34" s="85" t="s">
        <v>131</v>
      </c>
      <c r="W34" s="7" t="s">
        <v>109</v>
      </c>
      <c r="X34" s="7" t="s">
        <v>131</v>
      </c>
      <c r="Y34" s="7">
        <v>2</v>
      </c>
      <c r="Z34" s="40">
        <v>44469</v>
      </c>
      <c r="AA34" s="46">
        <v>13141</v>
      </c>
      <c r="AB34" s="7" t="s">
        <v>113</v>
      </c>
      <c r="AC34" s="39">
        <v>44471</v>
      </c>
      <c r="AD34" s="39">
        <v>44835</v>
      </c>
      <c r="AE34" s="7" t="s">
        <v>131</v>
      </c>
      <c r="AF34" s="7"/>
      <c r="AG34" s="85"/>
      <c r="AH34" s="85"/>
      <c r="AI34" s="7"/>
      <c r="AJ34" s="7"/>
      <c r="AK34" s="85"/>
      <c r="AL34" s="97">
        <f t="shared" si="0"/>
        <v>144000</v>
      </c>
      <c r="AM34" s="92">
        <f>12000+12000+12000+12000+12000</f>
        <v>60000</v>
      </c>
      <c r="AN34" s="92">
        <f>12000+12000+12000+12000+12000+12000</f>
        <v>72000</v>
      </c>
      <c r="AO34" s="82">
        <f t="shared" si="1"/>
        <v>132000</v>
      </c>
    </row>
    <row r="35" spans="1:41" s="1" customFormat="1" ht="25.5" x14ac:dyDescent="0.25">
      <c r="A35" s="18" t="s">
        <v>328</v>
      </c>
      <c r="B35" s="29" t="s">
        <v>209</v>
      </c>
      <c r="C35" s="29" t="s">
        <v>210</v>
      </c>
      <c r="D35" s="45" t="s">
        <v>87</v>
      </c>
      <c r="E35" s="45" t="s">
        <v>86</v>
      </c>
      <c r="F35" s="29" t="s">
        <v>211</v>
      </c>
      <c r="G35" s="46">
        <v>12780</v>
      </c>
      <c r="H35" s="46" t="s">
        <v>131</v>
      </c>
      <c r="I35" s="46" t="s">
        <v>131</v>
      </c>
      <c r="J35" s="46" t="s">
        <v>131</v>
      </c>
      <c r="K35" s="74" t="s">
        <v>205</v>
      </c>
      <c r="L35" s="63" t="s">
        <v>204</v>
      </c>
      <c r="M35" s="7" t="s">
        <v>100</v>
      </c>
      <c r="N35" s="40">
        <v>43909</v>
      </c>
      <c r="O35" s="85">
        <v>1445904</v>
      </c>
      <c r="P35" s="46">
        <v>12777</v>
      </c>
      <c r="Q35" s="40">
        <v>43909</v>
      </c>
      <c r="R35" s="40">
        <v>44273</v>
      </c>
      <c r="S35" s="45" t="s">
        <v>197</v>
      </c>
      <c r="T35" s="63" t="s">
        <v>205</v>
      </c>
      <c r="U35" s="7" t="s">
        <v>189</v>
      </c>
      <c r="V35" s="85" t="s">
        <v>131</v>
      </c>
      <c r="W35" s="7" t="s">
        <v>110</v>
      </c>
      <c r="X35" s="7" t="s">
        <v>131</v>
      </c>
      <c r="Y35" s="7">
        <v>2</v>
      </c>
      <c r="Z35" s="40">
        <v>44638</v>
      </c>
      <c r="AA35" s="46">
        <v>13251</v>
      </c>
      <c r="AB35" s="7" t="s">
        <v>113</v>
      </c>
      <c r="AC35" s="39">
        <v>44639</v>
      </c>
      <c r="AD35" s="39">
        <v>45003</v>
      </c>
      <c r="AE35" s="7" t="s">
        <v>131</v>
      </c>
      <c r="AF35" s="7"/>
      <c r="AG35" s="85"/>
      <c r="AH35" s="85"/>
      <c r="AI35" s="7"/>
      <c r="AJ35" s="7"/>
      <c r="AK35" s="85"/>
      <c r="AL35" s="97">
        <f t="shared" si="0"/>
        <v>1445904</v>
      </c>
      <c r="AM35" s="92">
        <f>6009.6+741.6+2244+2971.2+765.6+3076.8+2296.8+2268+660+3024+3804+2838+2253.6+3756+3828+2296.8+2282.4+3804+1725.6+3794.4+1502.4+3756+3612.6+856+3273.44+765.6</f>
        <v>68206.440000000017</v>
      </c>
      <c r="AN35" s="92">
        <f>865.6+756+751.2+684+236.4+760.8+6009.6+2224.8+2871.6+1531.2+6067.2+2993.4+1418.4+5459.4+2991.6</f>
        <v>35621.200000000004</v>
      </c>
      <c r="AO35" s="82">
        <f t="shared" si="1"/>
        <v>103827.64000000001</v>
      </c>
    </row>
    <row r="36" spans="1:41" s="1" customFormat="1" ht="25.5" x14ac:dyDescent="0.25">
      <c r="A36" s="18" t="s">
        <v>329</v>
      </c>
      <c r="B36" s="29" t="s">
        <v>209</v>
      </c>
      <c r="C36" s="29" t="s">
        <v>210</v>
      </c>
      <c r="D36" s="45" t="s">
        <v>87</v>
      </c>
      <c r="E36" s="45" t="s">
        <v>86</v>
      </c>
      <c r="F36" s="29" t="s">
        <v>211</v>
      </c>
      <c r="G36" s="46">
        <v>12798</v>
      </c>
      <c r="H36" s="46" t="s">
        <v>131</v>
      </c>
      <c r="I36" s="46" t="s">
        <v>131</v>
      </c>
      <c r="J36" s="46" t="s">
        <v>131</v>
      </c>
      <c r="K36" s="74" t="s">
        <v>207</v>
      </c>
      <c r="L36" s="63" t="s">
        <v>206</v>
      </c>
      <c r="M36" s="7" t="s">
        <v>101</v>
      </c>
      <c r="N36" s="40">
        <v>43910</v>
      </c>
      <c r="O36" s="85">
        <v>1445904</v>
      </c>
      <c r="P36" s="46">
        <v>12798</v>
      </c>
      <c r="Q36" s="40">
        <v>43910</v>
      </c>
      <c r="R36" s="40">
        <v>44275</v>
      </c>
      <c r="S36" s="45" t="s">
        <v>197</v>
      </c>
      <c r="T36" s="63" t="s">
        <v>207</v>
      </c>
      <c r="U36" s="7" t="s">
        <v>189</v>
      </c>
      <c r="V36" s="85" t="s">
        <v>131</v>
      </c>
      <c r="W36" s="7" t="s">
        <v>110</v>
      </c>
      <c r="X36" s="7" t="s">
        <v>131</v>
      </c>
      <c r="Y36" s="7">
        <v>2</v>
      </c>
      <c r="Z36" s="40">
        <v>44638</v>
      </c>
      <c r="AA36" s="46">
        <v>13251</v>
      </c>
      <c r="AB36" s="7" t="s">
        <v>113</v>
      </c>
      <c r="AC36" s="39">
        <v>44641</v>
      </c>
      <c r="AD36" s="39">
        <v>45005</v>
      </c>
      <c r="AE36" s="7" t="s">
        <v>131</v>
      </c>
      <c r="AF36" s="7"/>
      <c r="AG36" s="85"/>
      <c r="AH36" s="85"/>
      <c r="AI36" s="7"/>
      <c r="AJ36" s="7"/>
      <c r="AK36" s="85"/>
      <c r="AL36" s="97">
        <f t="shared" si="0"/>
        <v>1445904</v>
      </c>
      <c r="AM36" s="92">
        <f>10013.2+391.6+3626.4+1483.2+2224.8+668.4+415.6+2258.4+765.6+4084.8+310+2832+2157.6+2547.6+1536+310+1502.4+310+1531.2+1521.6+850.8+10244.8+751.2+706.6+9947.85+765.6+21568</f>
        <v>85325.25</v>
      </c>
      <c r="AN36" s="92">
        <f>19312+511.33+3197.73+9981.59+12019.2+12249.6+4096.85+10655.47+10639.2+4329.4+12095.4</f>
        <v>99087.76999999999</v>
      </c>
      <c r="AO36" s="82">
        <f t="shared" si="1"/>
        <v>184413.02</v>
      </c>
    </row>
    <row r="37" spans="1:41" s="1" customFormat="1" x14ac:dyDescent="0.25">
      <c r="A37" s="18" t="s">
        <v>330</v>
      </c>
      <c r="B37" s="29" t="s">
        <v>212</v>
      </c>
      <c r="C37" s="29" t="s">
        <v>213</v>
      </c>
      <c r="D37" s="45" t="s">
        <v>87</v>
      </c>
      <c r="E37" s="45" t="s">
        <v>86</v>
      </c>
      <c r="F37" s="29" t="s">
        <v>137</v>
      </c>
      <c r="G37" s="46">
        <v>12750</v>
      </c>
      <c r="H37" s="46" t="s">
        <v>214</v>
      </c>
      <c r="I37" s="40">
        <v>43888</v>
      </c>
      <c r="J37" s="40">
        <v>44254</v>
      </c>
      <c r="K37" s="74" t="s">
        <v>208</v>
      </c>
      <c r="L37" s="63" t="s">
        <v>277</v>
      </c>
      <c r="M37" s="7" t="s">
        <v>121</v>
      </c>
      <c r="N37" s="40">
        <v>43955</v>
      </c>
      <c r="O37" s="85">
        <v>222912</v>
      </c>
      <c r="P37" s="46">
        <v>12798</v>
      </c>
      <c r="Q37" s="40">
        <v>43955</v>
      </c>
      <c r="R37" s="40">
        <v>44196</v>
      </c>
      <c r="S37" s="45">
        <v>117</v>
      </c>
      <c r="T37" s="63" t="s">
        <v>208</v>
      </c>
      <c r="U37" s="7" t="s">
        <v>189</v>
      </c>
      <c r="V37" s="85" t="s">
        <v>131</v>
      </c>
      <c r="W37" s="7" t="s">
        <v>110</v>
      </c>
      <c r="X37" s="7" t="s">
        <v>131</v>
      </c>
      <c r="Y37" s="7">
        <v>5</v>
      </c>
      <c r="Z37" s="40">
        <v>44657</v>
      </c>
      <c r="AA37" s="46">
        <v>13271</v>
      </c>
      <c r="AB37" s="7" t="s">
        <v>495</v>
      </c>
      <c r="AC37" s="40">
        <v>44562</v>
      </c>
      <c r="AD37" s="40">
        <v>44926</v>
      </c>
      <c r="AE37" s="50">
        <v>0.22220000000000001</v>
      </c>
      <c r="AF37" s="7"/>
      <c r="AG37" s="85"/>
      <c r="AH37" s="85"/>
      <c r="AI37" s="7"/>
      <c r="AJ37" s="7"/>
      <c r="AK37" s="85"/>
      <c r="AL37" s="97">
        <f t="shared" si="0"/>
        <v>222912</v>
      </c>
      <c r="AM37" s="92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7" s="92">
        <f>4821.12+16873.92+5260.88+18413.08+5260.88+18413.08+18413.08+7452.91+18413.08+7891.32</f>
        <v>121213.35</v>
      </c>
      <c r="AO37" s="82">
        <f t="shared" si="1"/>
        <v>347431.74999999988</v>
      </c>
    </row>
    <row r="38" spans="1:41" s="1" customFormat="1" x14ac:dyDescent="0.25">
      <c r="A38" s="18" t="s">
        <v>331</v>
      </c>
      <c r="B38" s="29" t="s">
        <v>212</v>
      </c>
      <c r="C38" s="29" t="s">
        <v>213</v>
      </c>
      <c r="D38" s="45" t="s">
        <v>87</v>
      </c>
      <c r="E38" s="45" t="s">
        <v>86</v>
      </c>
      <c r="F38" s="29" t="s">
        <v>137</v>
      </c>
      <c r="G38" s="46"/>
      <c r="H38" s="46" t="s">
        <v>214</v>
      </c>
      <c r="I38" s="40"/>
      <c r="J38" s="40"/>
      <c r="K38" s="74" t="s">
        <v>306</v>
      </c>
      <c r="L38" s="63" t="s">
        <v>277</v>
      </c>
      <c r="M38" s="7" t="s">
        <v>314</v>
      </c>
      <c r="N38" s="40">
        <v>44239</v>
      </c>
      <c r="O38" s="85">
        <v>90960</v>
      </c>
      <c r="P38" s="46">
        <v>12989</v>
      </c>
      <c r="Q38" s="40">
        <v>44239</v>
      </c>
      <c r="R38" s="40">
        <v>44604</v>
      </c>
      <c r="S38" s="7" t="s">
        <v>197</v>
      </c>
      <c r="T38" s="63"/>
      <c r="U38" s="7" t="s">
        <v>189</v>
      </c>
      <c r="V38" s="85" t="s">
        <v>131</v>
      </c>
      <c r="W38" s="7" t="s">
        <v>110</v>
      </c>
      <c r="X38" s="7" t="s">
        <v>131</v>
      </c>
      <c r="Y38" s="7">
        <v>1</v>
      </c>
      <c r="Z38" s="40">
        <v>44600</v>
      </c>
      <c r="AA38" s="46">
        <v>13233</v>
      </c>
      <c r="AB38" s="7" t="s">
        <v>138</v>
      </c>
      <c r="AC38" s="39">
        <v>44604</v>
      </c>
      <c r="AD38" s="39">
        <v>44968</v>
      </c>
      <c r="AE38" s="7" t="s">
        <v>131</v>
      </c>
      <c r="AF38" s="7"/>
      <c r="AG38" s="85"/>
      <c r="AH38" s="85"/>
      <c r="AI38" s="7"/>
      <c r="AJ38" s="7"/>
      <c r="AK38" s="85"/>
      <c r="AL38" s="97">
        <f t="shared" si="0"/>
        <v>90960</v>
      </c>
      <c r="AM38" s="92">
        <f>1894.99+3790+3790+3790+3790+3790+3790+3790+3790</f>
        <v>32214.989999999998</v>
      </c>
      <c r="AN38" s="92">
        <f>6190.33</f>
        <v>6190.33</v>
      </c>
      <c r="AO38" s="82">
        <f t="shared" si="1"/>
        <v>38405.32</v>
      </c>
    </row>
    <row r="39" spans="1:41" s="1" customFormat="1" ht="51" x14ac:dyDescent="0.25">
      <c r="A39" s="18" t="s">
        <v>332</v>
      </c>
      <c r="B39" s="29" t="s">
        <v>304</v>
      </c>
      <c r="C39" s="29" t="s">
        <v>317</v>
      </c>
      <c r="D39" s="45" t="s">
        <v>87</v>
      </c>
      <c r="E39" s="45" t="s">
        <v>86</v>
      </c>
      <c r="F39" s="29" t="s">
        <v>216</v>
      </c>
      <c r="G39" s="46" t="s">
        <v>131</v>
      </c>
      <c r="H39" s="46" t="s">
        <v>302</v>
      </c>
      <c r="I39" s="40"/>
      <c r="J39" s="40"/>
      <c r="K39" s="74" t="s">
        <v>318</v>
      </c>
      <c r="L39" s="63" t="s">
        <v>176</v>
      </c>
      <c r="M39" s="7" t="s">
        <v>215</v>
      </c>
      <c r="N39" s="40">
        <v>44238</v>
      </c>
      <c r="O39" s="85">
        <v>184073</v>
      </c>
      <c r="P39" s="46"/>
      <c r="Q39" s="40">
        <v>44238</v>
      </c>
      <c r="R39" s="40">
        <v>44561</v>
      </c>
      <c r="S39" s="45" t="s">
        <v>197</v>
      </c>
      <c r="T39" s="63"/>
      <c r="U39" s="7" t="s">
        <v>189</v>
      </c>
      <c r="V39" s="85"/>
      <c r="W39" s="7" t="s">
        <v>111</v>
      </c>
      <c r="X39" s="7"/>
      <c r="Y39" s="7"/>
      <c r="Z39" s="7"/>
      <c r="AA39" s="7"/>
      <c r="AB39" s="7"/>
      <c r="AC39" s="51"/>
      <c r="AD39" s="51"/>
      <c r="AE39" s="7"/>
      <c r="AF39" s="7"/>
      <c r="AG39" s="85"/>
      <c r="AH39" s="85"/>
      <c r="AI39" s="7"/>
      <c r="AJ39" s="7"/>
      <c r="AK39" s="85"/>
      <c r="AL39" s="97">
        <f t="shared" si="0"/>
        <v>184073</v>
      </c>
      <c r="AM39" s="92">
        <f>3876.7+6974.12+3201.2</f>
        <v>14052.02</v>
      </c>
      <c r="AN39" s="92">
        <v>23050</v>
      </c>
      <c r="AO39" s="82">
        <f t="shared" si="1"/>
        <v>37102.020000000004</v>
      </c>
    </row>
    <row r="40" spans="1:41" s="1" customFormat="1" ht="38.25" x14ac:dyDescent="0.25">
      <c r="A40" s="18" t="s">
        <v>529</v>
      </c>
      <c r="B40" s="29" t="s">
        <v>219</v>
      </c>
      <c r="C40" s="29" t="s">
        <v>220</v>
      </c>
      <c r="D40" s="45" t="s">
        <v>87</v>
      </c>
      <c r="E40" s="45" t="s">
        <v>86</v>
      </c>
      <c r="F40" s="29" t="s">
        <v>221</v>
      </c>
      <c r="G40" s="52" t="s">
        <v>131</v>
      </c>
      <c r="H40" s="46" t="s">
        <v>222</v>
      </c>
      <c r="I40" s="40" t="s">
        <v>131</v>
      </c>
      <c r="J40" s="40" t="s">
        <v>131</v>
      </c>
      <c r="K40" s="74" t="s">
        <v>218</v>
      </c>
      <c r="L40" s="63" t="s">
        <v>217</v>
      </c>
      <c r="M40" s="40" t="s">
        <v>223</v>
      </c>
      <c r="N40" s="40">
        <v>44022</v>
      </c>
      <c r="O40" s="85">
        <v>25000</v>
      </c>
      <c r="P40" s="46">
        <v>12847</v>
      </c>
      <c r="Q40" s="40">
        <v>44022</v>
      </c>
      <c r="R40" s="40">
        <v>44387</v>
      </c>
      <c r="S40" s="45" t="s">
        <v>197</v>
      </c>
      <c r="T40" s="63" t="s">
        <v>218</v>
      </c>
      <c r="U40" s="7" t="s">
        <v>189</v>
      </c>
      <c r="V40" s="85" t="s">
        <v>131</v>
      </c>
      <c r="W40" s="7" t="s">
        <v>165</v>
      </c>
      <c r="X40" s="7" t="s">
        <v>131</v>
      </c>
      <c r="Y40" s="7">
        <v>1</v>
      </c>
      <c r="Z40" s="40">
        <v>44413</v>
      </c>
      <c r="AA40" s="7" t="s">
        <v>131</v>
      </c>
      <c r="AB40" s="7" t="s">
        <v>138</v>
      </c>
      <c r="AC40" s="39">
        <v>44414</v>
      </c>
      <c r="AD40" s="39">
        <v>44778</v>
      </c>
      <c r="AE40" s="7" t="s">
        <v>131</v>
      </c>
      <c r="AF40" s="7"/>
      <c r="AG40" s="85"/>
      <c r="AH40" s="85"/>
      <c r="AI40" s="7"/>
      <c r="AJ40" s="7"/>
      <c r="AK40" s="85"/>
      <c r="AL40" s="97">
        <f t="shared" si="0"/>
        <v>25000</v>
      </c>
      <c r="AM40" s="92"/>
      <c r="AN40" s="92"/>
      <c r="AO40" s="82">
        <f t="shared" si="1"/>
        <v>0</v>
      </c>
    </row>
    <row r="41" spans="1:41" s="1" customFormat="1" ht="38.25" x14ac:dyDescent="0.25">
      <c r="A41" s="18" t="s">
        <v>333</v>
      </c>
      <c r="B41" s="29" t="s">
        <v>173</v>
      </c>
      <c r="C41" s="29" t="s">
        <v>203</v>
      </c>
      <c r="D41" s="45" t="s">
        <v>87</v>
      </c>
      <c r="E41" s="45" t="s">
        <v>86</v>
      </c>
      <c r="F41" s="29" t="s">
        <v>225</v>
      </c>
      <c r="G41" s="52">
        <v>12886</v>
      </c>
      <c r="H41" s="46" t="s">
        <v>214</v>
      </c>
      <c r="I41" s="40">
        <v>44088</v>
      </c>
      <c r="J41" s="40">
        <v>44196</v>
      </c>
      <c r="K41" s="74" t="s">
        <v>226</v>
      </c>
      <c r="L41" s="63" t="s">
        <v>224</v>
      </c>
      <c r="M41" s="29" t="s">
        <v>97</v>
      </c>
      <c r="N41" s="40">
        <v>44088</v>
      </c>
      <c r="O41" s="85">
        <v>86352</v>
      </c>
      <c r="P41" s="46">
        <v>12886</v>
      </c>
      <c r="Q41" s="40">
        <v>44088</v>
      </c>
      <c r="R41" s="40">
        <v>44453</v>
      </c>
      <c r="S41" s="45" t="s">
        <v>197</v>
      </c>
      <c r="T41" s="63" t="s">
        <v>226</v>
      </c>
      <c r="U41" s="7" t="s">
        <v>189</v>
      </c>
      <c r="V41" s="85" t="s">
        <v>131</v>
      </c>
      <c r="W41" s="7" t="s">
        <v>111</v>
      </c>
      <c r="X41" s="7" t="s">
        <v>131</v>
      </c>
      <c r="Y41" s="7" t="s">
        <v>131</v>
      </c>
      <c r="Z41" s="40">
        <v>44449</v>
      </c>
      <c r="AA41" s="7" t="s">
        <v>131</v>
      </c>
      <c r="AB41" s="7" t="s">
        <v>138</v>
      </c>
      <c r="AC41" s="39">
        <v>44453</v>
      </c>
      <c r="AD41" s="39">
        <v>44817</v>
      </c>
      <c r="AE41" s="7" t="s">
        <v>131</v>
      </c>
      <c r="AF41" s="7"/>
      <c r="AG41" s="85"/>
      <c r="AH41" s="85"/>
      <c r="AI41" s="7"/>
      <c r="AJ41" s="7"/>
      <c r="AK41" s="85"/>
      <c r="AL41" s="97">
        <f t="shared" si="0"/>
        <v>86352</v>
      </c>
      <c r="AM41" s="92">
        <f>7196+3598+3598+3598+3598+3598+3598+3598+3598+3598+3598+3598+3598+7196+7196+7196+3598+3598+3598+3598</f>
        <v>86352</v>
      </c>
      <c r="AN41" s="92">
        <f>3598+3598+3598+3598+3598+3598+3598+3598+3598</f>
        <v>32382</v>
      </c>
      <c r="AO41" s="82">
        <f t="shared" si="1"/>
        <v>118734</v>
      </c>
    </row>
    <row r="42" spans="1:41" s="1" customFormat="1" ht="25.5" x14ac:dyDescent="0.25">
      <c r="A42" s="18" t="s">
        <v>334</v>
      </c>
      <c r="B42" s="29" t="s">
        <v>228</v>
      </c>
      <c r="C42" s="29" t="s">
        <v>229</v>
      </c>
      <c r="D42" s="45" t="s">
        <v>87</v>
      </c>
      <c r="E42" s="45" t="s">
        <v>86</v>
      </c>
      <c r="F42" s="29" t="s">
        <v>152</v>
      </c>
      <c r="G42" s="52">
        <v>12855</v>
      </c>
      <c r="H42" s="46" t="s">
        <v>230</v>
      </c>
      <c r="I42" s="40">
        <v>44048</v>
      </c>
      <c r="J42" s="40">
        <v>44413</v>
      </c>
      <c r="K42" s="74" t="s">
        <v>227</v>
      </c>
      <c r="L42" s="63" t="s">
        <v>147</v>
      </c>
      <c r="M42" s="29" t="s">
        <v>148</v>
      </c>
      <c r="N42" s="40">
        <v>44053</v>
      </c>
      <c r="O42" s="85">
        <v>1076549.76</v>
      </c>
      <c r="P42" s="46">
        <v>12863</v>
      </c>
      <c r="Q42" s="40">
        <v>44053</v>
      </c>
      <c r="R42" s="40">
        <v>44418</v>
      </c>
      <c r="S42" s="45" t="s">
        <v>231</v>
      </c>
      <c r="T42" s="63" t="s">
        <v>227</v>
      </c>
      <c r="U42" s="7" t="s">
        <v>189</v>
      </c>
      <c r="V42" s="85" t="s">
        <v>131</v>
      </c>
      <c r="W42" s="7" t="s">
        <v>110</v>
      </c>
      <c r="X42" s="7" t="s">
        <v>131</v>
      </c>
      <c r="Y42" s="7">
        <v>2</v>
      </c>
      <c r="Z42" s="40">
        <v>44546</v>
      </c>
      <c r="AA42" s="46">
        <v>13189</v>
      </c>
      <c r="AB42" s="7" t="s">
        <v>456</v>
      </c>
      <c r="AC42" s="39">
        <v>44546</v>
      </c>
      <c r="AD42" s="39">
        <v>44910</v>
      </c>
      <c r="AE42" s="7">
        <v>25</v>
      </c>
      <c r="AF42" s="7"/>
      <c r="AG42" s="85"/>
      <c r="AH42" s="85"/>
      <c r="AI42" s="7"/>
      <c r="AJ42" s="7"/>
      <c r="AK42" s="85"/>
      <c r="AL42" s="97">
        <f t="shared" si="0"/>
        <v>1076549.76</v>
      </c>
      <c r="AM42" s="92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2" s="92">
        <f>6084.33+14785.93+20726.84+6636.04+39432.18+6636.04+6737.57+6636.04+36715.55+6737.57+10866.52+6737.57+13373.61+14785.93+13373.61+6737.57+54265.54</f>
        <v>271268.43999999994</v>
      </c>
      <c r="AO42" s="82">
        <f t="shared" si="1"/>
        <v>738970.44</v>
      </c>
    </row>
    <row r="43" spans="1:41" s="1" customFormat="1" ht="51" x14ac:dyDescent="0.25">
      <c r="A43" s="18" t="s">
        <v>335</v>
      </c>
      <c r="B43" s="29" t="s">
        <v>310</v>
      </c>
      <c r="C43" s="29" t="s">
        <v>236</v>
      </c>
      <c r="D43" s="45" t="s">
        <v>87</v>
      </c>
      <c r="E43" s="45" t="s">
        <v>86</v>
      </c>
      <c r="F43" s="29" t="s">
        <v>240</v>
      </c>
      <c r="G43" s="52">
        <v>12855</v>
      </c>
      <c r="H43" s="46" t="s">
        <v>237</v>
      </c>
      <c r="I43" s="40">
        <v>44053</v>
      </c>
      <c r="J43" s="40">
        <v>44418</v>
      </c>
      <c r="K43" s="75" t="s">
        <v>232</v>
      </c>
      <c r="L43" s="66" t="s">
        <v>241</v>
      </c>
      <c r="M43" s="31" t="s">
        <v>233</v>
      </c>
      <c r="N43" s="39">
        <v>44053</v>
      </c>
      <c r="O43" s="86">
        <v>1125464.3999999999</v>
      </c>
      <c r="P43" s="53">
        <v>12863</v>
      </c>
      <c r="Q43" s="39">
        <v>44053</v>
      </c>
      <c r="R43" s="39">
        <v>44418</v>
      </c>
      <c r="S43" s="54">
        <v>126</v>
      </c>
      <c r="T43" s="66" t="s">
        <v>232</v>
      </c>
      <c r="U43" s="51" t="s">
        <v>189</v>
      </c>
      <c r="V43" s="86" t="s">
        <v>131</v>
      </c>
      <c r="W43" s="51" t="s">
        <v>110</v>
      </c>
      <c r="X43" s="51" t="s">
        <v>131</v>
      </c>
      <c r="Y43" s="51">
        <v>1</v>
      </c>
      <c r="Z43" s="39">
        <v>44414</v>
      </c>
      <c r="AA43" s="51" t="s">
        <v>131</v>
      </c>
      <c r="AB43" s="51" t="s">
        <v>115</v>
      </c>
      <c r="AC43" s="39">
        <v>44418</v>
      </c>
      <c r="AD43" s="39">
        <v>44782</v>
      </c>
      <c r="AE43" s="49">
        <v>0.05</v>
      </c>
      <c r="AF43" s="7"/>
      <c r="AG43" s="85"/>
      <c r="AH43" s="85"/>
      <c r="AI43" s="7"/>
      <c r="AJ43" s="7"/>
      <c r="AK43" s="85"/>
      <c r="AL43" s="97">
        <f t="shared" si="0"/>
        <v>1125464.3999999999</v>
      </c>
      <c r="AM43" s="92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3" s="92">
        <f>30004.56+53341.44+53341.44+30004.56+53341.44+30004.56+30004.56+3333.84+3333.84+23336.88+50007.6</f>
        <v>360054.72000000003</v>
      </c>
      <c r="AO43" s="82">
        <f t="shared" si="1"/>
        <v>1329676</v>
      </c>
    </row>
    <row r="44" spans="1:41" s="1" customFormat="1" ht="38.25" x14ac:dyDescent="0.25">
      <c r="A44" s="18" t="s">
        <v>336</v>
      </c>
      <c r="B44" s="29" t="s">
        <v>238</v>
      </c>
      <c r="C44" s="29" t="s">
        <v>239</v>
      </c>
      <c r="D44" s="45" t="s">
        <v>87</v>
      </c>
      <c r="E44" s="45" t="s">
        <v>86</v>
      </c>
      <c r="F44" s="29" t="s">
        <v>235</v>
      </c>
      <c r="G44" s="52">
        <v>12855</v>
      </c>
      <c r="H44" s="46" t="s">
        <v>237</v>
      </c>
      <c r="I44" s="40">
        <v>44053</v>
      </c>
      <c r="J44" s="40">
        <v>44418</v>
      </c>
      <c r="K44" s="75" t="s">
        <v>243</v>
      </c>
      <c r="L44" s="66" t="s">
        <v>242</v>
      </c>
      <c r="M44" s="31" t="s">
        <v>234</v>
      </c>
      <c r="N44" s="39">
        <v>44053</v>
      </c>
      <c r="O44" s="86">
        <v>285426</v>
      </c>
      <c r="P44" s="53">
        <v>12863</v>
      </c>
      <c r="Q44" s="39">
        <v>44053</v>
      </c>
      <c r="R44" s="39">
        <v>44053</v>
      </c>
      <c r="S44" s="54" t="s">
        <v>244</v>
      </c>
      <c r="T44" s="66" t="s">
        <v>243</v>
      </c>
      <c r="U44" s="51" t="s">
        <v>189</v>
      </c>
      <c r="V44" s="86" t="s">
        <v>131</v>
      </c>
      <c r="W44" s="51" t="s">
        <v>245</v>
      </c>
      <c r="X44" s="51" t="s">
        <v>131</v>
      </c>
      <c r="Y44" s="51">
        <v>1</v>
      </c>
      <c r="Z44" s="39">
        <v>44414</v>
      </c>
      <c r="AA44" s="53">
        <v>13111</v>
      </c>
      <c r="AB44" s="51" t="s">
        <v>138</v>
      </c>
      <c r="AC44" s="39">
        <v>44418</v>
      </c>
      <c r="AD44" s="39">
        <v>44782</v>
      </c>
      <c r="AE44" s="55"/>
      <c r="AF44" s="51"/>
      <c r="AG44" s="86"/>
      <c r="AH44" s="86"/>
      <c r="AI44" s="51"/>
      <c r="AJ44" s="51"/>
      <c r="AK44" s="86"/>
      <c r="AL44" s="97">
        <f t="shared" si="0"/>
        <v>285426</v>
      </c>
      <c r="AM44" s="92">
        <f>9514.2+9514.2+23785.5+23785.5+21248.38+23785.5+4757.1+4757.1+4757.1+4757.1+4757.1+4757.1+4757.1+4757.1+9514.2</f>
        <v>159204.28000000006</v>
      </c>
      <c r="AN44" s="92">
        <f>9514.2+4757.1+4757.1+4757.1+4757.1+9514.2</f>
        <v>38056.800000000003</v>
      </c>
      <c r="AO44" s="82">
        <f t="shared" si="1"/>
        <v>197261.08000000007</v>
      </c>
    </row>
    <row r="45" spans="1:41" s="1" customFormat="1" ht="38.25" x14ac:dyDescent="0.25">
      <c r="A45" s="18" t="s">
        <v>337</v>
      </c>
      <c r="B45" s="29" t="s">
        <v>366</v>
      </c>
      <c r="C45" s="29" t="s">
        <v>367</v>
      </c>
      <c r="D45" s="45" t="s">
        <v>87</v>
      </c>
      <c r="E45" s="45" t="s">
        <v>86</v>
      </c>
      <c r="F45" s="29" t="s">
        <v>235</v>
      </c>
      <c r="G45" s="52">
        <v>12856</v>
      </c>
      <c r="H45" s="46" t="s">
        <v>309</v>
      </c>
      <c r="I45" s="7" t="s">
        <v>131</v>
      </c>
      <c r="J45" s="7" t="s">
        <v>131</v>
      </c>
      <c r="K45" s="75" t="s">
        <v>368</v>
      </c>
      <c r="L45" s="66" t="s">
        <v>242</v>
      </c>
      <c r="M45" s="31" t="s">
        <v>369</v>
      </c>
      <c r="N45" s="39">
        <v>44237</v>
      </c>
      <c r="O45" s="86">
        <v>285426</v>
      </c>
      <c r="P45" s="53">
        <v>12983</v>
      </c>
      <c r="Q45" s="39">
        <v>44237</v>
      </c>
      <c r="R45" s="39">
        <v>44532</v>
      </c>
      <c r="S45" s="54" t="s">
        <v>197</v>
      </c>
      <c r="T45" s="66"/>
      <c r="U45" s="51" t="s">
        <v>189</v>
      </c>
      <c r="V45" s="86"/>
      <c r="W45" s="51" t="s">
        <v>245</v>
      </c>
      <c r="X45" s="51"/>
      <c r="Y45" s="51">
        <v>1</v>
      </c>
      <c r="Z45" s="39">
        <v>44600</v>
      </c>
      <c r="AA45" s="53">
        <v>13233</v>
      </c>
      <c r="AB45" s="51" t="s">
        <v>138</v>
      </c>
      <c r="AC45" s="39">
        <v>44603</v>
      </c>
      <c r="AD45" s="39">
        <v>44967</v>
      </c>
      <c r="AE45" s="7"/>
      <c r="AF45" s="7"/>
      <c r="AG45" s="85"/>
      <c r="AH45" s="85"/>
      <c r="AI45" s="7"/>
      <c r="AJ45" s="7"/>
      <c r="AK45" s="85"/>
      <c r="AL45" s="97">
        <f t="shared" si="0"/>
        <v>285426</v>
      </c>
      <c r="AM45" s="92">
        <f>16808.42+22199.8+14271.3</f>
        <v>53279.520000000004</v>
      </c>
      <c r="AN45" s="92">
        <f>23785.5+19028.4+4757.1</f>
        <v>47571</v>
      </c>
      <c r="AO45" s="82">
        <f t="shared" si="1"/>
        <v>100850.52</v>
      </c>
    </row>
    <row r="46" spans="1:41" s="1" customFormat="1" x14ac:dyDescent="0.25">
      <c r="A46" s="18" t="s">
        <v>530</v>
      </c>
      <c r="B46" s="29" t="s">
        <v>251</v>
      </c>
      <c r="C46" s="29" t="s">
        <v>252</v>
      </c>
      <c r="D46" s="45" t="s">
        <v>87</v>
      </c>
      <c r="E46" s="45" t="s">
        <v>86</v>
      </c>
      <c r="F46" s="29" t="s">
        <v>253</v>
      </c>
      <c r="G46" s="52" t="s">
        <v>131</v>
      </c>
      <c r="H46" s="46" t="s">
        <v>247</v>
      </c>
      <c r="I46" s="40">
        <v>44088</v>
      </c>
      <c r="J46" s="40">
        <v>44196</v>
      </c>
      <c r="K46" s="74" t="s">
        <v>248</v>
      </c>
      <c r="L46" s="63" t="s">
        <v>249</v>
      </c>
      <c r="M46" s="29" t="s">
        <v>254</v>
      </c>
      <c r="N46" s="40">
        <v>44174</v>
      </c>
      <c r="O46" s="85">
        <v>64788</v>
      </c>
      <c r="P46" s="46">
        <v>12927</v>
      </c>
      <c r="Q46" s="40" t="s">
        <v>131</v>
      </c>
      <c r="R46" s="40" t="s">
        <v>131</v>
      </c>
      <c r="S46" s="45">
        <v>117</v>
      </c>
      <c r="T46" s="63" t="s">
        <v>248</v>
      </c>
      <c r="U46" s="7" t="s">
        <v>189</v>
      </c>
      <c r="V46" s="85" t="s">
        <v>131</v>
      </c>
      <c r="W46" s="7" t="s">
        <v>110</v>
      </c>
      <c r="X46" s="7" t="s">
        <v>131</v>
      </c>
      <c r="Y46" s="7">
        <v>1</v>
      </c>
      <c r="Z46" s="40">
        <v>44508</v>
      </c>
      <c r="AA46" s="46">
        <v>13164</v>
      </c>
      <c r="AB46" s="7" t="s">
        <v>113</v>
      </c>
      <c r="AC46" s="39">
        <v>44510</v>
      </c>
      <c r="AD46" s="39">
        <v>44874</v>
      </c>
      <c r="AE46" s="7" t="s">
        <v>131</v>
      </c>
      <c r="AF46" s="7"/>
      <c r="AG46" s="85"/>
      <c r="AH46" s="85"/>
      <c r="AI46" s="7"/>
      <c r="AJ46" s="7"/>
      <c r="AK46" s="85"/>
      <c r="AL46" s="97">
        <f t="shared" si="0"/>
        <v>64788</v>
      </c>
      <c r="AM46" s="92">
        <f>5399+5399+5399+5399+5399+5399+5399</f>
        <v>37793</v>
      </c>
      <c r="AN46" s="92"/>
      <c r="AO46" s="82">
        <f t="shared" si="1"/>
        <v>37793</v>
      </c>
    </row>
    <row r="47" spans="1:41" s="1" customFormat="1" ht="51" x14ac:dyDescent="0.25">
      <c r="A47" s="18" t="s">
        <v>338</v>
      </c>
      <c r="B47" s="29" t="s">
        <v>212</v>
      </c>
      <c r="C47" s="29" t="s">
        <v>252</v>
      </c>
      <c r="D47" s="45" t="s">
        <v>87</v>
      </c>
      <c r="E47" s="45" t="s">
        <v>86</v>
      </c>
      <c r="F47" s="29" t="s">
        <v>256</v>
      </c>
      <c r="G47" s="52" t="s">
        <v>131</v>
      </c>
      <c r="H47" s="46" t="s">
        <v>247</v>
      </c>
      <c r="I47" s="40">
        <v>44088</v>
      </c>
      <c r="J47" s="40">
        <v>44196</v>
      </c>
      <c r="K47" s="74" t="s">
        <v>250</v>
      </c>
      <c r="L47" s="63" t="s">
        <v>277</v>
      </c>
      <c r="M47" s="29" t="s">
        <v>255</v>
      </c>
      <c r="N47" s="40">
        <v>44138</v>
      </c>
      <c r="O47" s="85">
        <v>149608</v>
      </c>
      <c r="P47" s="46">
        <v>12927</v>
      </c>
      <c r="Q47" s="40">
        <v>44138</v>
      </c>
      <c r="R47" s="40">
        <v>44503</v>
      </c>
      <c r="S47" s="45" t="s">
        <v>231</v>
      </c>
      <c r="T47" s="63" t="s">
        <v>250</v>
      </c>
      <c r="U47" s="7" t="s">
        <v>189</v>
      </c>
      <c r="V47" s="85" t="s">
        <v>131</v>
      </c>
      <c r="W47" s="7" t="s">
        <v>110</v>
      </c>
      <c r="X47" s="7" t="s">
        <v>131</v>
      </c>
      <c r="Y47" s="7">
        <v>3</v>
      </c>
      <c r="Z47" s="40">
        <v>44531</v>
      </c>
      <c r="AA47" s="46">
        <v>13195</v>
      </c>
      <c r="AB47" s="7" t="s">
        <v>299</v>
      </c>
      <c r="AC47" s="40">
        <v>44504</v>
      </c>
      <c r="AD47" s="40">
        <v>44868</v>
      </c>
      <c r="AE47" s="50">
        <v>9.2297599999999994E-2</v>
      </c>
      <c r="AF47" s="7"/>
      <c r="AG47" s="85"/>
      <c r="AH47" s="85"/>
      <c r="AI47" s="7"/>
      <c r="AJ47" s="7"/>
      <c r="AK47" s="85"/>
      <c r="AL47" s="97">
        <f t="shared" si="0"/>
        <v>149608</v>
      </c>
      <c r="AM47" s="92">
        <f>8256+8256+8256+6192+8256+11420.8+12384+11627.2+12384+12384+12384+12384</f>
        <v>124184</v>
      </c>
      <c r="AN47" s="92">
        <f>13527+13527+13527+13527+1803.6+13527+2254.5</f>
        <v>71693.100000000006</v>
      </c>
      <c r="AO47" s="82">
        <f t="shared" si="1"/>
        <v>195877.1</v>
      </c>
    </row>
    <row r="48" spans="1:41" s="1" customFormat="1" ht="38.25" x14ac:dyDescent="0.25">
      <c r="A48" s="18" t="s">
        <v>531</v>
      </c>
      <c r="B48" s="29" t="s">
        <v>272</v>
      </c>
      <c r="C48" s="29" t="s">
        <v>273</v>
      </c>
      <c r="D48" s="45" t="s">
        <v>87</v>
      </c>
      <c r="E48" s="45" t="s">
        <v>86</v>
      </c>
      <c r="F48" s="29" t="s">
        <v>271</v>
      </c>
      <c r="G48" s="52" t="s">
        <v>131</v>
      </c>
      <c r="H48" s="46" t="s">
        <v>274</v>
      </c>
      <c r="I48" s="40" t="s">
        <v>131</v>
      </c>
      <c r="J48" s="40" t="s">
        <v>131</v>
      </c>
      <c r="K48" s="74" t="s">
        <v>258</v>
      </c>
      <c r="L48" s="63" t="s">
        <v>259</v>
      </c>
      <c r="M48" s="29" t="s">
        <v>260</v>
      </c>
      <c r="N48" s="40">
        <v>43888</v>
      </c>
      <c r="O48" s="85">
        <v>24150</v>
      </c>
      <c r="P48" s="46">
        <v>12750</v>
      </c>
      <c r="Q48" s="40">
        <v>43888</v>
      </c>
      <c r="R48" s="40">
        <v>44196</v>
      </c>
      <c r="S48" s="45" t="s">
        <v>257</v>
      </c>
      <c r="T48" s="65" t="s">
        <v>258</v>
      </c>
      <c r="U48" s="7" t="s">
        <v>189</v>
      </c>
      <c r="V48" s="85" t="s">
        <v>131</v>
      </c>
      <c r="W48" s="7" t="s">
        <v>112</v>
      </c>
      <c r="X48" s="7" t="s">
        <v>131</v>
      </c>
      <c r="Y48" s="7">
        <v>2</v>
      </c>
      <c r="Z48" s="40">
        <v>44560</v>
      </c>
      <c r="AA48" s="46">
        <v>13199</v>
      </c>
      <c r="AB48" s="7" t="s">
        <v>138</v>
      </c>
      <c r="AC48" s="39">
        <v>44562</v>
      </c>
      <c r="AD48" s="39">
        <v>44926</v>
      </c>
      <c r="AE48" s="7" t="s">
        <v>131</v>
      </c>
      <c r="AF48" s="7"/>
      <c r="AG48" s="85"/>
      <c r="AH48" s="85"/>
      <c r="AI48" s="7"/>
      <c r="AJ48" s="7"/>
      <c r="AK48" s="85"/>
      <c r="AL48" s="97">
        <f t="shared" si="0"/>
        <v>24150</v>
      </c>
      <c r="AM48" s="92"/>
      <c r="AN48" s="92"/>
      <c r="AO48" s="82">
        <f t="shared" si="1"/>
        <v>0</v>
      </c>
    </row>
    <row r="49" spans="1:41" s="1" customFormat="1" ht="38.25" x14ac:dyDescent="0.25">
      <c r="A49" s="18" t="s">
        <v>532</v>
      </c>
      <c r="B49" s="29" t="s">
        <v>267</v>
      </c>
      <c r="C49" s="29" t="s">
        <v>268</v>
      </c>
      <c r="D49" s="45" t="s">
        <v>87</v>
      </c>
      <c r="E49" s="45" t="s">
        <v>86</v>
      </c>
      <c r="F49" s="29" t="s">
        <v>269</v>
      </c>
      <c r="G49" s="52" t="s">
        <v>131</v>
      </c>
      <c r="H49" s="46" t="s">
        <v>131</v>
      </c>
      <c r="I49" s="40" t="s">
        <v>131</v>
      </c>
      <c r="J49" s="40" t="s">
        <v>131</v>
      </c>
      <c r="K49" s="74" t="s">
        <v>261</v>
      </c>
      <c r="L49" s="63" t="s">
        <v>262</v>
      </c>
      <c r="M49" s="29" t="s">
        <v>264</v>
      </c>
      <c r="N49" s="40">
        <v>44117</v>
      </c>
      <c r="O49" s="85">
        <v>105760</v>
      </c>
      <c r="P49" s="46">
        <v>12909</v>
      </c>
      <c r="Q49" s="40">
        <v>44117</v>
      </c>
      <c r="R49" s="40">
        <v>44299</v>
      </c>
      <c r="S49" s="45" t="s">
        <v>257</v>
      </c>
      <c r="T49" s="65" t="s">
        <v>261</v>
      </c>
      <c r="U49" s="7" t="s">
        <v>189</v>
      </c>
      <c r="V49" s="85" t="s">
        <v>131</v>
      </c>
      <c r="W49" s="7" t="s">
        <v>112</v>
      </c>
      <c r="X49" s="7" t="s">
        <v>131</v>
      </c>
      <c r="Y49" s="7">
        <v>2</v>
      </c>
      <c r="Z49" s="40">
        <v>44659</v>
      </c>
      <c r="AA49" s="46">
        <v>13272</v>
      </c>
      <c r="AB49" s="7" t="s">
        <v>138</v>
      </c>
      <c r="AC49" s="39">
        <v>44661</v>
      </c>
      <c r="AD49" s="39">
        <v>44843</v>
      </c>
      <c r="AE49" s="7"/>
      <c r="AF49" s="7"/>
      <c r="AG49" s="85"/>
      <c r="AH49" s="85"/>
      <c r="AI49" s="7"/>
      <c r="AJ49" s="7"/>
      <c r="AK49" s="85"/>
      <c r="AL49" s="97">
        <f t="shared" si="0"/>
        <v>105760</v>
      </c>
      <c r="AM49" s="92"/>
      <c r="AN49" s="92">
        <f>70290+42600</f>
        <v>112890</v>
      </c>
      <c r="AO49" s="82">
        <f t="shared" si="1"/>
        <v>112890</v>
      </c>
    </row>
    <row r="50" spans="1:41" s="1" customFormat="1" ht="38.25" x14ac:dyDescent="0.25">
      <c r="A50" s="18" t="s">
        <v>339</v>
      </c>
      <c r="B50" s="29" t="s">
        <v>298</v>
      </c>
      <c r="C50" s="29" t="s">
        <v>131</v>
      </c>
      <c r="D50" s="45" t="s">
        <v>87</v>
      </c>
      <c r="E50" s="45" t="s">
        <v>86</v>
      </c>
      <c r="F50" s="29" t="s">
        <v>270</v>
      </c>
      <c r="G50" s="52" t="s">
        <v>131</v>
      </c>
      <c r="H50" s="46" t="s">
        <v>131</v>
      </c>
      <c r="I50" s="40" t="s">
        <v>131</v>
      </c>
      <c r="J50" s="40" t="s">
        <v>131</v>
      </c>
      <c r="K50" s="76" t="s">
        <v>263</v>
      </c>
      <c r="L50" s="63" t="s">
        <v>266</v>
      </c>
      <c r="M50" s="29" t="s">
        <v>265</v>
      </c>
      <c r="N50" s="40">
        <v>44117</v>
      </c>
      <c r="O50" s="85">
        <v>99115</v>
      </c>
      <c r="P50" s="46">
        <v>12909</v>
      </c>
      <c r="Q50" s="40">
        <v>44117</v>
      </c>
      <c r="R50" s="40" t="s">
        <v>275</v>
      </c>
      <c r="S50" s="45" t="s">
        <v>257</v>
      </c>
      <c r="T50" s="67" t="s">
        <v>263</v>
      </c>
      <c r="U50" s="7" t="s">
        <v>189</v>
      </c>
      <c r="V50" s="85" t="s">
        <v>131</v>
      </c>
      <c r="W50" s="7" t="s">
        <v>112</v>
      </c>
      <c r="X50" s="7" t="s">
        <v>131</v>
      </c>
      <c r="Y50" s="7">
        <v>3</v>
      </c>
      <c r="Z50" s="40">
        <v>44659</v>
      </c>
      <c r="AA50" s="46">
        <v>13272</v>
      </c>
      <c r="AB50" s="7" t="s">
        <v>113</v>
      </c>
      <c r="AC50" s="39">
        <v>44660</v>
      </c>
      <c r="AD50" s="39">
        <v>44844</v>
      </c>
      <c r="AE50" s="7" t="s">
        <v>131</v>
      </c>
      <c r="AF50" s="7"/>
      <c r="AG50" s="85"/>
      <c r="AH50" s="85"/>
      <c r="AI50" s="7"/>
      <c r="AJ50" s="7"/>
      <c r="AK50" s="85"/>
      <c r="AL50" s="97">
        <f t="shared" si="0"/>
        <v>99115</v>
      </c>
      <c r="AM50" s="92"/>
      <c r="AN50" s="92">
        <f>72420+28968</f>
        <v>101388</v>
      </c>
      <c r="AO50" s="82">
        <f t="shared" si="1"/>
        <v>101388</v>
      </c>
    </row>
    <row r="51" spans="1:41" s="1" customFormat="1" ht="38.25" x14ac:dyDescent="0.25">
      <c r="A51" s="18" t="s">
        <v>340</v>
      </c>
      <c r="B51" s="29" t="s">
        <v>283</v>
      </c>
      <c r="C51" s="29" t="s">
        <v>289</v>
      </c>
      <c r="D51" s="45" t="s">
        <v>87</v>
      </c>
      <c r="E51" s="45" t="s">
        <v>86</v>
      </c>
      <c r="F51" s="29" t="s">
        <v>290</v>
      </c>
      <c r="G51" s="52">
        <v>12952</v>
      </c>
      <c r="H51" s="46" t="s">
        <v>282</v>
      </c>
      <c r="I51" s="40">
        <v>44183</v>
      </c>
      <c r="J51" s="40">
        <v>44548</v>
      </c>
      <c r="K51" s="76" t="s">
        <v>281</v>
      </c>
      <c r="L51" s="63" t="s">
        <v>279</v>
      </c>
      <c r="M51" s="29" t="s">
        <v>280</v>
      </c>
      <c r="N51" s="40">
        <v>44238</v>
      </c>
      <c r="O51" s="85">
        <v>160000</v>
      </c>
      <c r="P51" s="46">
        <v>12984</v>
      </c>
      <c r="Q51" s="40">
        <v>44238</v>
      </c>
      <c r="R51" s="40">
        <v>44561</v>
      </c>
      <c r="S51" s="45" t="s">
        <v>257</v>
      </c>
      <c r="T51" s="63" t="s">
        <v>281</v>
      </c>
      <c r="U51" s="7" t="s">
        <v>189</v>
      </c>
      <c r="V51" s="85" t="s">
        <v>131</v>
      </c>
      <c r="W51" s="7" t="s">
        <v>111</v>
      </c>
      <c r="X51" s="7" t="s">
        <v>131</v>
      </c>
      <c r="Y51" s="7">
        <v>1</v>
      </c>
      <c r="Z51" s="40">
        <v>44547</v>
      </c>
      <c r="AA51" s="46">
        <v>13189</v>
      </c>
      <c r="AB51" s="7" t="s">
        <v>299</v>
      </c>
      <c r="AC51" s="51" t="s">
        <v>131</v>
      </c>
      <c r="AD51" s="51" t="s">
        <v>131</v>
      </c>
      <c r="AE51" s="49">
        <v>0.25</v>
      </c>
      <c r="AF51" s="7"/>
      <c r="AG51" s="85"/>
      <c r="AH51" s="85"/>
      <c r="AI51" s="7"/>
      <c r="AJ51" s="7"/>
      <c r="AK51" s="85"/>
      <c r="AL51" s="97">
        <f t="shared" si="0"/>
        <v>160000</v>
      </c>
      <c r="AM51" s="92">
        <f>1550+1750+7750+1232+1400+7000+16606+7750+1364+12696+7500+3774+4568+7750+7816+4948+13960+8536+9334+18382+1050+5180+13086+2000+4914+14820</f>
        <v>186716</v>
      </c>
      <c r="AN51" s="92"/>
      <c r="AO51" s="82">
        <f t="shared" si="1"/>
        <v>186716</v>
      </c>
    </row>
    <row r="52" spans="1:41" s="1" customFormat="1" ht="38.25" x14ac:dyDescent="0.25">
      <c r="A52" s="18" t="s">
        <v>341</v>
      </c>
      <c r="B52" s="29" t="s">
        <v>291</v>
      </c>
      <c r="C52" s="29" t="s">
        <v>292</v>
      </c>
      <c r="D52" s="45" t="s">
        <v>87</v>
      </c>
      <c r="E52" s="45" t="s">
        <v>86</v>
      </c>
      <c r="F52" s="29" t="s">
        <v>293</v>
      </c>
      <c r="G52" s="52">
        <v>12923</v>
      </c>
      <c r="H52" s="46" t="s">
        <v>408</v>
      </c>
      <c r="I52" s="7" t="s">
        <v>131</v>
      </c>
      <c r="J52" s="7" t="s">
        <v>131</v>
      </c>
      <c r="K52" s="76" t="s">
        <v>407</v>
      </c>
      <c r="L52" s="63" t="s">
        <v>284</v>
      </c>
      <c r="M52" s="29" t="s">
        <v>285</v>
      </c>
      <c r="N52" s="40">
        <v>44245</v>
      </c>
      <c r="O52" s="85">
        <v>471580</v>
      </c>
      <c r="P52" s="46"/>
      <c r="Q52" s="40">
        <v>44245</v>
      </c>
      <c r="R52" s="40">
        <v>44561</v>
      </c>
      <c r="S52" s="7" t="s">
        <v>197</v>
      </c>
      <c r="T52" s="63"/>
      <c r="U52" s="7" t="s">
        <v>189</v>
      </c>
      <c r="V52" s="85" t="s">
        <v>131</v>
      </c>
      <c r="W52" s="7" t="s">
        <v>111</v>
      </c>
      <c r="X52" s="7" t="s">
        <v>131</v>
      </c>
      <c r="Y52" s="7" t="s">
        <v>131</v>
      </c>
      <c r="Z52" s="7" t="s">
        <v>131</v>
      </c>
      <c r="AA52" s="7" t="s">
        <v>131</v>
      </c>
      <c r="AB52" s="7" t="s">
        <v>131</v>
      </c>
      <c r="AC52" s="51" t="s">
        <v>131</v>
      </c>
      <c r="AD52" s="51" t="s">
        <v>131</v>
      </c>
      <c r="AE52" s="7" t="s">
        <v>131</v>
      </c>
      <c r="AF52" s="7"/>
      <c r="AG52" s="85"/>
      <c r="AH52" s="85"/>
      <c r="AI52" s="7"/>
      <c r="AJ52" s="7"/>
      <c r="AK52" s="85"/>
      <c r="AL52" s="97">
        <f t="shared" si="0"/>
        <v>471580</v>
      </c>
      <c r="AM52" s="92">
        <v>12870</v>
      </c>
      <c r="AN52" s="92">
        <v>15444</v>
      </c>
      <c r="AO52" s="82">
        <f t="shared" si="1"/>
        <v>28314</v>
      </c>
    </row>
    <row r="53" spans="1:41" s="1" customFormat="1" ht="38.25" x14ac:dyDescent="0.25">
      <c r="A53" s="18" t="s">
        <v>342</v>
      </c>
      <c r="B53" s="29" t="s">
        <v>296</v>
      </c>
      <c r="C53" s="29" t="s">
        <v>297</v>
      </c>
      <c r="D53" s="45" t="s">
        <v>87</v>
      </c>
      <c r="E53" s="45" t="s">
        <v>86</v>
      </c>
      <c r="F53" s="29" t="s">
        <v>294</v>
      </c>
      <c r="G53" s="52">
        <v>12944</v>
      </c>
      <c r="H53" s="46" t="s">
        <v>295</v>
      </c>
      <c r="I53" s="40">
        <v>44175</v>
      </c>
      <c r="J53" s="40">
        <v>44540</v>
      </c>
      <c r="K53" s="76" t="s">
        <v>286</v>
      </c>
      <c r="L53" s="63" t="s">
        <v>287</v>
      </c>
      <c r="M53" s="29" t="s">
        <v>122</v>
      </c>
      <c r="N53" s="40">
        <v>44231</v>
      </c>
      <c r="O53" s="85">
        <v>45800</v>
      </c>
      <c r="P53" s="46">
        <v>12977</v>
      </c>
      <c r="Q53" s="40">
        <v>44231</v>
      </c>
      <c r="R53" s="40">
        <v>44561</v>
      </c>
      <c r="S53" s="7">
        <v>101.117</v>
      </c>
      <c r="T53" s="63" t="s">
        <v>286</v>
      </c>
      <c r="U53" s="7" t="s">
        <v>189</v>
      </c>
      <c r="V53" s="85" t="s">
        <v>131</v>
      </c>
      <c r="W53" s="7" t="s">
        <v>111</v>
      </c>
      <c r="X53" s="7" t="s">
        <v>131</v>
      </c>
      <c r="Y53" s="7" t="s">
        <v>131</v>
      </c>
      <c r="Z53" s="7" t="s">
        <v>131</v>
      </c>
      <c r="AA53" s="7" t="s">
        <v>131</v>
      </c>
      <c r="AB53" s="7" t="s">
        <v>131</v>
      </c>
      <c r="AC53" s="51" t="s">
        <v>131</v>
      </c>
      <c r="AD53" s="51" t="s">
        <v>131</v>
      </c>
      <c r="AE53" s="7" t="s">
        <v>131</v>
      </c>
      <c r="AF53" s="7"/>
      <c r="AG53" s="85"/>
      <c r="AH53" s="85"/>
      <c r="AI53" s="7"/>
      <c r="AJ53" s="7"/>
      <c r="AK53" s="85"/>
      <c r="AL53" s="97">
        <f t="shared" si="0"/>
        <v>45800</v>
      </c>
      <c r="AM53" s="92">
        <f>3850+4950+3850+1870+1980+1430+1210</f>
        <v>19140</v>
      </c>
      <c r="AN53" s="92">
        <f>990+2200+1430+1980</f>
        <v>6600</v>
      </c>
      <c r="AO53" s="82">
        <f t="shared" si="1"/>
        <v>25740</v>
      </c>
    </row>
    <row r="54" spans="1:41" s="1" customFormat="1" ht="38.25" x14ac:dyDescent="0.25">
      <c r="A54" s="18" t="s">
        <v>533</v>
      </c>
      <c r="B54" s="31" t="s">
        <v>301</v>
      </c>
      <c r="C54" s="31" t="s">
        <v>305</v>
      </c>
      <c r="D54" s="54" t="s">
        <v>87</v>
      </c>
      <c r="E54" s="54" t="s">
        <v>86</v>
      </c>
      <c r="F54" s="31" t="s">
        <v>416</v>
      </c>
      <c r="G54" s="56">
        <v>12902</v>
      </c>
      <c r="H54" s="53" t="s">
        <v>302</v>
      </c>
      <c r="I54" s="7" t="s">
        <v>131</v>
      </c>
      <c r="J54" s="7" t="s">
        <v>131</v>
      </c>
      <c r="K54" s="77" t="s">
        <v>303</v>
      </c>
      <c r="L54" s="66" t="s">
        <v>300</v>
      </c>
      <c r="M54" s="29" t="s">
        <v>315</v>
      </c>
      <c r="N54" s="40" t="s">
        <v>316</v>
      </c>
      <c r="O54" s="85">
        <v>157840.78</v>
      </c>
      <c r="P54" s="7" t="s">
        <v>131</v>
      </c>
      <c r="Q54" s="40">
        <v>44238</v>
      </c>
      <c r="R54" s="40">
        <v>44561</v>
      </c>
      <c r="S54" s="7" t="s">
        <v>197</v>
      </c>
      <c r="T54" s="63" t="s">
        <v>303</v>
      </c>
      <c r="U54" s="7" t="s">
        <v>189</v>
      </c>
      <c r="V54" s="85" t="s">
        <v>131</v>
      </c>
      <c r="W54" s="7" t="s">
        <v>111</v>
      </c>
      <c r="X54" s="7" t="s">
        <v>131</v>
      </c>
      <c r="Y54" s="7" t="s">
        <v>131</v>
      </c>
      <c r="Z54" s="7" t="s">
        <v>131</v>
      </c>
      <c r="AA54" s="7" t="s">
        <v>131</v>
      </c>
      <c r="AB54" s="7" t="s">
        <v>131</v>
      </c>
      <c r="AC54" s="7" t="s">
        <v>131</v>
      </c>
      <c r="AD54" s="7" t="s">
        <v>131</v>
      </c>
      <c r="AE54" s="7" t="s">
        <v>131</v>
      </c>
      <c r="AF54" s="7"/>
      <c r="AG54" s="85"/>
      <c r="AH54" s="85"/>
      <c r="AI54" s="7"/>
      <c r="AJ54" s="7"/>
      <c r="AK54" s="85"/>
      <c r="AL54" s="97">
        <f t="shared" si="0"/>
        <v>157840.78</v>
      </c>
      <c r="AM54" s="92">
        <f>9696.43+1492.57+4617.58+8271.04+12059.1+12269.31+4292.14+8029.6+8029.6+19823.45+21055.9</f>
        <v>109636.72</v>
      </c>
      <c r="AN54" s="92">
        <v>14136.2</v>
      </c>
      <c r="AO54" s="82">
        <f t="shared" si="1"/>
        <v>123772.92</v>
      </c>
    </row>
    <row r="55" spans="1:41" s="1" customFormat="1" ht="38.25" x14ac:dyDescent="0.25">
      <c r="A55" s="18" t="s">
        <v>343</v>
      </c>
      <c r="B55" s="31" t="s">
        <v>362</v>
      </c>
      <c r="C55" s="29" t="s">
        <v>363</v>
      </c>
      <c r="D55" s="54" t="s">
        <v>87</v>
      </c>
      <c r="E55" s="54" t="s">
        <v>86</v>
      </c>
      <c r="F55" s="31" t="s">
        <v>415</v>
      </c>
      <c r="G55" s="56">
        <v>12904</v>
      </c>
      <c r="H55" s="53" t="s">
        <v>364</v>
      </c>
      <c r="I55" s="7" t="s">
        <v>131</v>
      </c>
      <c r="J55" s="7" t="s">
        <v>131</v>
      </c>
      <c r="K55" s="77" t="s">
        <v>361</v>
      </c>
      <c r="L55" s="66" t="s">
        <v>360</v>
      </c>
      <c r="M55" s="29" t="s">
        <v>365</v>
      </c>
      <c r="N55" s="40">
        <v>44166</v>
      </c>
      <c r="O55" s="85">
        <v>817437.48</v>
      </c>
      <c r="P55" s="46">
        <v>12933</v>
      </c>
      <c r="Q55" s="40">
        <v>44166</v>
      </c>
      <c r="R55" s="40">
        <v>44531</v>
      </c>
      <c r="S55" s="7" t="s">
        <v>197</v>
      </c>
      <c r="T55" s="63" t="s">
        <v>361</v>
      </c>
      <c r="U55" s="7" t="s">
        <v>189</v>
      </c>
      <c r="V55" s="85"/>
      <c r="W55" s="7" t="s">
        <v>110</v>
      </c>
      <c r="X55" s="7" t="s">
        <v>131</v>
      </c>
      <c r="Y55" s="7">
        <v>1</v>
      </c>
      <c r="Z55" s="40">
        <v>44517</v>
      </c>
      <c r="AA55" s="46">
        <v>13167</v>
      </c>
      <c r="AB55" s="7" t="s">
        <v>113</v>
      </c>
      <c r="AC55" s="40">
        <v>44531</v>
      </c>
      <c r="AD55" s="40">
        <v>44895</v>
      </c>
      <c r="AE55" s="7" t="s">
        <v>131</v>
      </c>
      <c r="AF55" s="7"/>
      <c r="AG55" s="85"/>
      <c r="AH55" s="85"/>
      <c r="AI55" s="7"/>
      <c r="AJ55" s="7"/>
      <c r="AK55" s="85"/>
      <c r="AL55" s="97">
        <f t="shared" si="0"/>
        <v>817437.48</v>
      </c>
      <c r="AM55" s="92">
        <f>4754.88+29320.83+41464.22+40082.08+5923.46+5923.46+5923.46+5923.46+1579.58+25865.75+5923.46+26655.57+6713.25+15697.18+2961.73+5923.46+20732.11+26655.57+29123.67+26655.57</f>
        <v>333802.75</v>
      </c>
      <c r="AN55" s="92">
        <f>38502.49+20732.11+20732.11+38008.85+20732.11+35343.3+32776.47+2961.73+16337.27+15955.12+8885.19+20732.11</f>
        <v>271698.86</v>
      </c>
      <c r="AO55" s="82">
        <f t="shared" si="1"/>
        <v>605501.61</v>
      </c>
    </row>
    <row r="56" spans="1:41" s="1" customFormat="1" ht="38.25" x14ac:dyDescent="0.25">
      <c r="A56" s="18" t="s">
        <v>534</v>
      </c>
      <c r="B56" s="31" t="s">
        <v>372</v>
      </c>
      <c r="C56" s="31" t="s">
        <v>373</v>
      </c>
      <c r="D56" s="54" t="s">
        <v>87</v>
      </c>
      <c r="E56" s="54" t="s">
        <v>86</v>
      </c>
      <c r="F56" s="31" t="s">
        <v>414</v>
      </c>
      <c r="G56" s="56">
        <v>12905</v>
      </c>
      <c r="H56" s="53" t="s">
        <v>371</v>
      </c>
      <c r="I56" s="51" t="s">
        <v>131</v>
      </c>
      <c r="J56" s="51" t="s">
        <v>131</v>
      </c>
      <c r="K56" s="77" t="s">
        <v>370</v>
      </c>
      <c r="L56" s="66" t="s">
        <v>457</v>
      </c>
      <c r="M56" s="31" t="s">
        <v>374</v>
      </c>
      <c r="N56" s="39">
        <v>44239</v>
      </c>
      <c r="O56" s="86">
        <v>517333.92</v>
      </c>
      <c r="P56" s="53">
        <v>12994</v>
      </c>
      <c r="Q56" s="39">
        <v>44239</v>
      </c>
      <c r="R56" s="39">
        <v>44604</v>
      </c>
      <c r="S56" s="51" t="s">
        <v>197</v>
      </c>
      <c r="T56" s="66" t="s">
        <v>370</v>
      </c>
      <c r="U56" s="51" t="s">
        <v>189</v>
      </c>
      <c r="V56" s="86" t="s">
        <v>131</v>
      </c>
      <c r="W56" s="51" t="s">
        <v>110</v>
      </c>
      <c r="X56" s="51" t="s">
        <v>131</v>
      </c>
      <c r="Y56" s="51">
        <v>2</v>
      </c>
      <c r="Z56" s="39">
        <v>44598</v>
      </c>
      <c r="AA56" s="46">
        <v>13233</v>
      </c>
      <c r="AB56" s="7" t="s">
        <v>113</v>
      </c>
      <c r="AC56" s="40">
        <v>44605</v>
      </c>
      <c r="AD56" s="40">
        <v>44969</v>
      </c>
      <c r="AE56" s="7" t="s">
        <v>131</v>
      </c>
      <c r="AF56" s="7"/>
      <c r="AG56" s="85"/>
      <c r="AH56" s="85"/>
      <c r="AI56" s="7"/>
      <c r="AJ56" s="7"/>
      <c r="AK56" s="85"/>
      <c r="AL56" s="97">
        <f t="shared" si="0"/>
        <v>517333.92</v>
      </c>
      <c r="AM56" s="92">
        <f>5166.2+11817.6+7060.94+2406.54+375.77+2052.4+7638.65+2052.4+809.39+2486.02+8722.7+809.39+8722.7+2052.4+2486.02+2486.02+2052.4+8722.7+2681.2+1459.82+809.39+1459.82+2681.2+2052.4+8939.51+2486.02+809.39</f>
        <v>101298.98999999999</v>
      </c>
      <c r="AN56" s="92">
        <f>1459.82+12191.66+8939.51+2486.02+2052.4+2486.02+2486.02+2681.2+809.39+1459.82+809.39+2681.2+1459.82+2681.2+2486.02+2486.02+809.39+3331.63+1676.63+2999.12+1539.3+11620.71+809.39+3263.32+1824.33+13116.23+1674.9+3625.13+880.69+3263.32+1824.33+3625.13+1674.9+880.69+13116.23</f>
        <v>121210.87999999999</v>
      </c>
      <c r="AO56" s="82">
        <f t="shared" si="1"/>
        <v>222509.87</v>
      </c>
    </row>
    <row r="57" spans="1:41" s="1" customFormat="1" ht="38.25" x14ac:dyDescent="0.25">
      <c r="A57" s="18" t="s">
        <v>344</v>
      </c>
      <c r="B57" s="31" t="s">
        <v>378</v>
      </c>
      <c r="C57" s="29" t="s">
        <v>380</v>
      </c>
      <c r="D57" s="54" t="s">
        <v>87</v>
      </c>
      <c r="E57" s="54" t="s">
        <v>86</v>
      </c>
      <c r="F57" s="31" t="s">
        <v>413</v>
      </c>
      <c r="G57" s="56">
        <v>12906</v>
      </c>
      <c r="H57" s="53" t="s">
        <v>379</v>
      </c>
      <c r="I57" s="7" t="s">
        <v>131</v>
      </c>
      <c r="J57" s="7" t="s">
        <v>131</v>
      </c>
      <c r="K57" s="77" t="s">
        <v>375</v>
      </c>
      <c r="L57" s="66" t="s">
        <v>376</v>
      </c>
      <c r="M57" s="29" t="s">
        <v>377</v>
      </c>
      <c r="N57" s="40">
        <v>44279</v>
      </c>
      <c r="O57" s="85">
        <v>56250</v>
      </c>
      <c r="P57" s="46">
        <v>13025</v>
      </c>
      <c r="Q57" s="40">
        <v>44279</v>
      </c>
      <c r="R57" s="40">
        <v>44644</v>
      </c>
      <c r="S57" s="7" t="s">
        <v>197</v>
      </c>
      <c r="T57" s="63" t="s">
        <v>375</v>
      </c>
      <c r="U57" s="7" t="s">
        <v>189</v>
      </c>
      <c r="V57" s="85" t="s">
        <v>131</v>
      </c>
      <c r="W57" s="7" t="s">
        <v>110</v>
      </c>
      <c r="X57" s="7" t="s">
        <v>131</v>
      </c>
      <c r="Y57" s="7">
        <v>1</v>
      </c>
      <c r="Z57" s="40">
        <v>44546</v>
      </c>
      <c r="AA57" s="46">
        <v>13188</v>
      </c>
      <c r="AB57" s="7" t="s">
        <v>299</v>
      </c>
      <c r="AC57" s="7" t="s">
        <v>131</v>
      </c>
      <c r="AD57" s="7" t="s">
        <v>131</v>
      </c>
      <c r="AE57" s="49">
        <v>0.25</v>
      </c>
      <c r="AF57" s="7"/>
      <c r="AG57" s="85"/>
      <c r="AH57" s="85"/>
      <c r="AI57" s="7"/>
      <c r="AJ57" s="7"/>
      <c r="AK57" s="85"/>
      <c r="AL57" s="97">
        <f t="shared" si="0"/>
        <v>56250</v>
      </c>
      <c r="AM57" s="92">
        <f>1725+2925+675+1237.5+3975+6525+3187.5+1575+3075+525+4912.5+487.5+3300+975+2325+6862.5+487.5+1650+6075+7012.5+7050</f>
        <v>66562.5</v>
      </c>
      <c r="AN57" s="92"/>
      <c r="AO57" s="82">
        <f t="shared" si="1"/>
        <v>66562.5</v>
      </c>
    </row>
    <row r="58" spans="1:41" s="1" customFormat="1" ht="38.25" x14ac:dyDescent="0.25">
      <c r="A58" s="18" t="s">
        <v>345</v>
      </c>
      <c r="B58" s="31" t="s">
        <v>385</v>
      </c>
      <c r="C58" s="29" t="s">
        <v>292</v>
      </c>
      <c r="D58" s="54" t="s">
        <v>87</v>
      </c>
      <c r="E58" s="54" t="s">
        <v>86</v>
      </c>
      <c r="F58" s="31" t="s">
        <v>412</v>
      </c>
      <c r="G58" s="56">
        <v>12908</v>
      </c>
      <c r="H58" s="53" t="s">
        <v>384</v>
      </c>
      <c r="I58" s="7" t="s">
        <v>131</v>
      </c>
      <c r="J58" s="7" t="s">
        <v>131</v>
      </c>
      <c r="K58" s="77" t="s">
        <v>381</v>
      </c>
      <c r="L58" s="66" t="s">
        <v>382</v>
      </c>
      <c r="M58" s="29" t="s">
        <v>383</v>
      </c>
      <c r="N58" s="40">
        <v>44245</v>
      </c>
      <c r="O58" s="85">
        <v>2325</v>
      </c>
      <c r="P58" s="46" t="s">
        <v>131</v>
      </c>
      <c r="Q58" s="40" t="s">
        <v>131</v>
      </c>
      <c r="R58" s="40"/>
      <c r="S58" s="7" t="s">
        <v>197</v>
      </c>
      <c r="T58" s="63" t="s">
        <v>381</v>
      </c>
      <c r="U58" s="7" t="s">
        <v>189</v>
      </c>
      <c r="V58" s="85" t="s">
        <v>131</v>
      </c>
      <c r="W58" s="7" t="s">
        <v>111</v>
      </c>
      <c r="X58" s="7" t="s">
        <v>131</v>
      </c>
      <c r="Y58" s="7" t="s">
        <v>131</v>
      </c>
      <c r="Z58" s="7" t="s">
        <v>131</v>
      </c>
      <c r="AA58" s="7" t="s">
        <v>131</v>
      </c>
      <c r="AB58" s="7" t="s">
        <v>131</v>
      </c>
      <c r="AC58" s="7" t="s">
        <v>131</v>
      </c>
      <c r="AD58" s="7" t="s">
        <v>131</v>
      </c>
      <c r="AE58" s="7" t="s">
        <v>131</v>
      </c>
      <c r="AF58" s="7"/>
      <c r="AG58" s="85"/>
      <c r="AH58" s="85"/>
      <c r="AI58" s="7"/>
      <c r="AJ58" s="7"/>
      <c r="AK58" s="85"/>
      <c r="AL58" s="97">
        <f t="shared" si="0"/>
        <v>2325</v>
      </c>
      <c r="AM58" s="92">
        <v>344</v>
      </c>
      <c r="AN58" s="92">
        <v>1462.5</v>
      </c>
      <c r="AO58" s="82">
        <f t="shared" si="1"/>
        <v>1806.5</v>
      </c>
    </row>
    <row r="59" spans="1:41" s="1" customFormat="1" ht="38.25" x14ac:dyDescent="0.25">
      <c r="A59" s="18" t="s">
        <v>535</v>
      </c>
      <c r="B59" s="31" t="s">
        <v>389</v>
      </c>
      <c r="C59" s="29" t="s">
        <v>390</v>
      </c>
      <c r="D59" s="54" t="s">
        <v>87</v>
      </c>
      <c r="E59" s="54" t="s">
        <v>86</v>
      </c>
      <c r="F59" s="31" t="s">
        <v>411</v>
      </c>
      <c r="G59" s="56">
        <v>12909</v>
      </c>
      <c r="H59" s="53" t="s">
        <v>391</v>
      </c>
      <c r="I59" s="7" t="s">
        <v>131</v>
      </c>
      <c r="J59" s="7" t="s">
        <v>131</v>
      </c>
      <c r="K59" s="77" t="s">
        <v>388</v>
      </c>
      <c r="L59" s="44" t="s">
        <v>386</v>
      </c>
      <c r="M59" s="29" t="s">
        <v>387</v>
      </c>
      <c r="N59" s="40">
        <v>44319</v>
      </c>
      <c r="O59" s="85">
        <v>2521757.4</v>
      </c>
      <c r="P59" s="46" t="s">
        <v>131</v>
      </c>
      <c r="Q59" s="40">
        <v>44319</v>
      </c>
      <c r="R59" s="40">
        <v>44684</v>
      </c>
      <c r="S59" s="7" t="s">
        <v>197</v>
      </c>
      <c r="T59" s="63" t="s">
        <v>388</v>
      </c>
      <c r="U59" s="7" t="s">
        <v>189</v>
      </c>
      <c r="V59" s="85" t="s">
        <v>131</v>
      </c>
      <c r="W59" s="7" t="s">
        <v>110</v>
      </c>
      <c r="X59" s="7" t="s">
        <v>131</v>
      </c>
      <c r="Y59" s="7">
        <v>1</v>
      </c>
      <c r="Z59" s="40">
        <v>44683</v>
      </c>
      <c r="AA59" s="46">
        <v>13286</v>
      </c>
      <c r="AB59" s="7" t="s">
        <v>144</v>
      </c>
      <c r="AC59" s="40">
        <v>44685</v>
      </c>
      <c r="AD59" s="40">
        <v>45049</v>
      </c>
      <c r="AE59" s="7" t="s">
        <v>131</v>
      </c>
      <c r="AF59" s="49"/>
      <c r="AG59" s="85"/>
      <c r="AH59" s="85"/>
      <c r="AI59" s="7"/>
      <c r="AJ59" s="7"/>
      <c r="AK59" s="85"/>
      <c r="AL59" s="97">
        <f t="shared" si="0"/>
        <v>2521757.4</v>
      </c>
      <c r="AM59" s="92">
        <f>10098.79+30296.37+65174.94+30296.37+4683.14+23932.31+6386.1+32107.29+25635.27+15752.38+25635.27+30296.37+6386.1+12772.2+34630.11+19249.17+31808.5+6386.1+33060.65</f>
        <v>444587.43</v>
      </c>
      <c r="AN59" s="92">
        <f>25635.27+6386.1+10007.92+33060.65+32021.37+33060.65+10007.92+15968.28+33060.65+33060.65+20015.84+20338+7661.18+31492.62+4254.54</f>
        <v>316031.63999999996</v>
      </c>
      <c r="AO59" s="82">
        <f t="shared" si="1"/>
        <v>760619.07</v>
      </c>
    </row>
    <row r="60" spans="1:41" s="1" customFormat="1" ht="38.25" x14ac:dyDescent="0.25">
      <c r="A60" s="18" t="s">
        <v>346</v>
      </c>
      <c r="B60" s="31" t="s">
        <v>398</v>
      </c>
      <c r="C60" s="29" t="s">
        <v>397</v>
      </c>
      <c r="D60" s="54" t="s">
        <v>87</v>
      </c>
      <c r="E60" s="54" t="s">
        <v>86</v>
      </c>
      <c r="F60" s="31" t="s">
        <v>410</v>
      </c>
      <c r="G60" s="56">
        <v>12911</v>
      </c>
      <c r="H60" s="53" t="s">
        <v>396</v>
      </c>
      <c r="I60" s="7" t="s">
        <v>131</v>
      </c>
      <c r="J60" s="7" t="s">
        <v>131</v>
      </c>
      <c r="K60" s="77" t="s">
        <v>393</v>
      </c>
      <c r="L60" s="44" t="s">
        <v>394</v>
      </c>
      <c r="M60" s="29" t="s">
        <v>395</v>
      </c>
      <c r="N60" s="40">
        <v>44379</v>
      </c>
      <c r="O60" s="85">
        <v>794250</v>
      </c>
      <c r="P60" s="46" t="s">
        <v>131</v>
      </c>
      <c r="Q60" s="40">
        <v>44379</v>
      </c>
      <c r="R60" s="40">
        <v>44744</v>
      </c>
      <c r="S60" s="7" t="s">
        <v>399</v>
      </c>
      <c r="T60" s="68" t="s">
        <v>393</v>
      </c>
      <c r="U60" s="7" t="s">
        <v>189</v>
      </c>
      <c r="V60" s="85" t="s">
        <v>131</v>
      </c>
      <c r="W60" s="7" t="s">
        <v>112</v>
      </c>
      <c r="X60" s="7" t="s">
        <v>131</v>
      </c>
      <c r="Y60" s="7" t="s">
        <v>131</v>
      </c>
      <c r="Z60" s="7" t="s">
        <v>131</v>
      </c>
      <c r="AA60" s="7" t="s">
        <v>131</v>
      </c>
      <c r="AB60" s="7" t="s">
        <v>131</v>
      </c>
      <c r="AC60" s="7" t="s">
        <v>131</v>
      </c>
      <c r="AD60" s="7" t="s">
        <v>131</v>
      </c>
      <c r="AE60" s="7" t="s">
        <v>131</v>
      </c>
      <c r="AF60" s="7"/>
      <c r="AG60" s="85"/>
      <c r="AH60" s="85"/>
      <c r="AI60" s="7"/>
      <c r="AJ60" s="7"/>
      <c r="AK60" s="85"/>
      <c r="AL60" s="97">
        <f t="shared" si="0"/>
        <v>794250</v>
      </c>
      <c r="AM60" s="92">
        <f>48491.61+9234.48+6597.57+32934.9+24780.6+9636.9+8832.06+36948.51+48925.8+82411.38+21201.18+18352.47+41036.25+76565.7</f>
        <v>465949.41</v>
      </c>
      <c r="AN60" s="92">
        <f>19506.78+53426.55+4447.8+5210.28</f>
        <v>82591.41</v>
      </c>
      <c r="AO60" s="82">
        <f t="shared" si="1"/>
        <v>548540.81999999995</v>
      </c>
    </row>
    <row r="61" spans="1:41" s="1" customFormat="1" ht="38.25" x14ac:dyDescent="0.25">
      <c r="A61" s="18" t="s">
        <v>347</v>
      </c>
      <c r="B61" s="31" t="s">
        <v>405</v>
      </c>
      <c r="C61" s="29" t="s">
        <v>246</v>
      </c>
      <c r="D61" s="54" t="s">
        <v>87</v>
      </c>
      <c r="E61" s="54" t="s">
        <v>86</v>
      </c>
      <c r="F61" s="31" t="s">
        <v>417</v>
      </c>
      <c r="G61" s="7" t="s">
        <v>131</v>
      </c>
      <c r="H61" s="53" t="s">
        <v>406</v>
      </c>
      <c r="I61" s="7" t="s">
        <v>131</v>
      </c>
      <c r="J61" s="7" t="s">
        <v>131</v>
      </c>
      <c r="K61" s="77" t="s">
        <v>402</v>
      </c>
      <c r="L61" s="44" t="s">
        <v>403</v>
      </c>
      <c r="M61" s="29" t="s">
        <v>404</v>
      </c>
      <c r="N61" s="40">
        <v>44237</v>
      </c>
      <c r="O61" s="85">
        <v>9151.5</v>
      </c>
      <c r="P61" s="46" t="s">
        <v>131</v>
      </c>
      <c r="Q61" s="40">
        <v>44237</v>
      </c>
      <c r="R61" s="40">
        <v>44561</v>
      </c>
      <c r="S61" s="7" t="s">
        <v>197</v>
      </c>
      <c r="T61" s="68" t="s">
        <v>402</v>
      </c>
      <c r="U61" s="7" t="s">
        <v>189</v>
      </c>
      <c r="V61" s="85" t="s">
        <v>131</v>
      </c>
      <c r="W61" s="7" t="s">
        <v>111</v>
      </c>
      <c r="X61" s="7" t="s">
        <v>131</v>
      </c>
      <c r="Y61" s="7" t="s">
        <v>131</v>
      </c>
      <c r="Z61" s="7" t="s">
        <v>131</v>
      </c>
      <c r="AA61" s="7" t="s">
        <v>131</v>
      </c>
      <c r="AB61" s="7" t="s">
        <v>131</v>
      </c>
      <c r="AC61" s="7" t="s">
        <v>131</v>
      </c>
      <c r="AD61" s="7" t="s">
        <v>131</v>
      </c>
      <c r="AE61" s="7" t="s">
        <v>131</v>
      </c>
      <c r="AF61" s="7"/>
      <c r="AG61" s="85"/>
      <c r="AH61" s="85"/>
      <c r="AI61" s="7"/>
      <c r="AJ61" s="7"/>
      <c r="AK61" s="85"/>
      <c r="AL61" s="97">
        <f t="shared" si="0"/>
        <v>9151.5</v>
      </c>
      <c r="AM61" s="92">
        <f>984.1+1094.68+81.6</f>
        <v>2160.38</v>
      </c>
      <c r="AN61" s="92">
        <f>2275.7</f>
        <v>2275.6999999999998</v>
      </c>
      <c r="AO61" s="82">
        <f t="shared" si="1"/>
        <v>4436.08</v>
      </c>
    </row>
    <row r="62" spans="1:41" s="1" customFormat="1" ht="38.25" x14ac:dyDescent="0.25">
      <c r="A62" s="18" t="s">
        <v>348</v>
      </c>
      <c r="B62" s="31" t="s">
        <v>392</v>
      </c>
      <c r="C62" s="29" t="s">
        <v>419</v>
      </c>
      <c r="D62" s="54" t="s">
        <v>87</v>
      </c>
      <c r="E62" s="54" t="s">
        <v>86</v>
      </c>
      <c r="F62" s="31" t="s">
        <v>418</v>
      </c>
      <c r="G62" s="7" t="s">
        <v>131</v>
      </c>
      <c r="H62" s="53" t="s">
        <v>420</v>
      </c>
      <c r="I62" s="7" t="s">
        <v>131</v>
      </c>
      <c r="J62" s="7" t="s">
        <v>131</v>
      </c>
      <c r="K62" s="77" t="s">
        <v>421</v>
      </c>
      <c r="L62" s="44" t="s">
        <v>422</v>
      </c>
      <c r="M62" s="29" t="s">
        <v>440</v>
      </c>
      <c r="N62" s="40">
        <v>44237</v>
      </c>
      <c r="O62" s="85">
        <v>8404</v>
      </c>
      <c r="P62" s="46" t="s">
        <v>131</v>
      </c>
      <c r="Q62" s="40">
        <v>44237</v>
      </c>
      <c r="R62" s="40">
        <v>44561</v>
      </c>
      <c r="S62" s="46" t="s">
        <v>197</v>
      </c>
      <c r="T62" s="89" t="s">
        <v>131</v>
      </c>
      <c r="U62" s="7" t="s">
        <v>189</v>
      </c>
      <c r="V62" s="85" t="s">
        <v>131</v>
      </c>
      <c r="W62" s="7" t="s">
        <v>110</v>
      </c>
      <c r="X62" s="7" t="s">
        <v>131</v>
      </c>
      <c r="Y62" s="7" t="s">
        <v>131</v>
      </c>
      <c r="Z62" s="7" t="s">
        <v>131</v>
      </c>
      <c r="AA62" s="7" t="s">
        <v>131</v>
      </c>
      <c r="AB62" s="7" t="s">
        <v>131</v>
      </c>
      <c r="AC62" s="7" t="s">
        <v>131</v>
      </c>
      <c r="AD62" s="7" t="s">
        <v>131</v>
      </c>
      <c r="AE62" s="7" t="s">
        <v>131</v>
      </c>
      <c r="AF62" s="7"/>
      <c r="AG62" s="85"/>
      <c r="AH62" s="85"/>
      <c r="AI62" s="7"/>
      <c r="AJ62" s="7"/>
      <c r="AK62" s="85"/>
      <c r="AL62" s="97">
        <f t="shared" si="0"/>
        <v>8404</v>
      </c>
      <c r="AM62" s="92">
        <v>2224</v>
      </c>
      <c r="AN62" s="92">
        <f>1984</f>
        <v>1984</v>
      </c>
      <c r="AO62" s="82">
        <f t="shared" si="1"/>
        <v>4208</v>
      </c>
    </row>
    <row r="63" spans="1:41" s="1" customFormat="1" ht="38.25" x14ac:dyDescent="0.25">
      <c r="A63" s="18" t="s">
        <v>349</v>
      </c>
      <c r="B63" s="31" t="s">
        <v>296</v>
      </c>
      <c r="C63" s="29" t="s">
        <v>423</v>
      </c>
      <c r="D63" s="54" t="s">
        <v>87</v>
      </c>
      <c r="E63" s="54"/>
      <c r="F63" s="31" t="s">
        <v>426</v>
      </c>
      <c r="G63" s="7" t="s">
        <v>131</v>
      </c>
      <c r="H63" s="53" t="s">
        <v>424</v>
      </c>
      <c r="I63" s="7" t="s">
        <v>131</v>
      </c>
      <c r="J63" s="7" t="s">
        <v>131</v>
      </c>
      <c r="K63" s="77" t="s">
        <v>425</v>
      </c>
      <c r="L63" s="44" t="s">
        <v>311</v>
      </c>
      <c r="M63" s="29" t="s">
        <v>312</v>
      </c>
      <c r="N63" s="40">
        <v>44412</v>
      </c>
      <c r="O63" s="85">
        <v>29950</v>
      </c>
      <c r="P63" s="46" t="s">
        <v>131</v>
      </c>
      <c r="Q63" s="40">
        <v>44412</v>
      </c>
      <c r="R63" s="40">
        <v>44561</v>
      </c>
      <c r="S63" s="7" t="s">
        <v>197</v>
      </c>
      <c r="T63" s="89" t="s">
        <v>131</v>
      </c>
      <c r="U63" s="7" t="s">
        <v>189</v>
      </c>
      <c r="V63" s="85" t="s">
        <v>131</v>
      </c>
      <c r="W63" s="7" t="s">
        <v>111</v>
      </c>
      <c r="X63" s="7" t="s">
        <v>131</v>
      </c>
      <c r="Y63" s="7" t="s">
        <v>131</v>
      </c>
      <c r="Z63" s="7" t="s">
        <v>131</v>
      </c>
      <c r="AA63" s="7" t="s">
        <v>131</v>
      </c>
      <c r="AB63" s="7" t="s">
        <v>131</v>
      </c>
      <c r="AC63" s="7" t="s">
        <v>131</v>
      </c>
      <c r="AD63" s="7" t="s">
        <v>131</v>
      </c>
      <c r="AE63" s="7" t="s">
        <v>131</v>
      </c>
      <c r="AF63" s="7"/>
      <c r="AG63" s="85"/>
      <c r="AH63" s="85"/>
      <c r="AI63" s="7"/>
      <c r="AJ63" s="7"/>
      <c r="AK63" s="85"/>
      <c r="AL63" s="97">
        <f t="shared" si="0"/>
        <v>29950</v>
      </c>
      <c r="AM63" s="92">
        <f>3468.21+3971.37+4258.89</f>
        <v>11698.470000000001</v>
      </c>
      <c r="AN63" s="92">
        <f>3941.42+4929.77+305.49</f>
        <v>9176.68</v>
      </c>
      <c r="AO63" s="82">
        <f t="shared" si="1"/>
        <v>20875.150000000001</v>
      </c>
    </row>
    <row r="64" spans="1:41" s="1" customFormat="1" ht="38.25" x14ac:dyDescent="0.25">
      <c r="A64" s="18" t="s">
        <v>350</v>
      </c>
      <c r="B64" s="31" t="s">
        <v>427</v>
      </c>
      <c r="C64" s="29" t="s">
        <v>428</v>
      </c>
      <c r="D64" s="54" t="s">
        <v>87</v>
      </c>
      <c r="E64" s="54"/>
      <c r="F64" s="31" t="s">
        <v>429</v>
      </c>
      <c r="G64" s="7" t="s">
        <v>131</v>
      </c>
      <c r="H64" s="53" t="s">
        <v>430</v>
      </c>
      <c r="I64" s="7" t="s">
        <v>131</v>
      </c>
      <c r="J64" s="7" t="s">
        <v>131</v>
      </c>
      <c r="K64" s="77" t="s">
        <v>431</v>
      </c>
      <c r="L64" s="44" t="s">
        <v>438</v>
      </c>
      <c r="M64" s="29" t="s">
        <v>439</v>
      </c>
      <c r="N64" s="40">
        <v>44144</v>
      </c>
      <c r="O64" s="85">
        <v>349653.68</v>
      </c>
      <c r="P64" s="46">
        <v>12927</v>
      </c>
      <c r="Q64" s="40">
        <v>44144</v>
      </c>
      <c r="R64" s="40">
        <v>44508</v>
      </c>
      <c r="S64" s="45" t="s">
        <v>231</v>
      </c>
      <c r="T64" s="89" t="s">
        <v>131</v>
      </c>
      <c r="U64" s="7" t="s">
        <v>189</v>
      </c>
      <c r="V64" s="85" t="s">
        <v>131</v>
      </c>
      <c r="W64" s="7" t="s">
        <v>165</v>
      </c>
      <c r="X64" s="7" t="s">
        <v>131</v>
      </c>
      <c r="Y64" s="7">
        <v>1</v>
      </c>
      <c r="Z64" s="40">
        <v>44505</v>
      </c>
      <c r="AA64" s="46">
        <v>13163</v>
      </c>
      <c r="AB64" s="7" t="s">
        <v>113</v>
      </c>
      <c r="AC64" s="40">
        <v>44509</v>
      </c>
      <c r="AD64" s="40">
        <v>44873</v>
      </c>
      <c r="AE64" s="7" t="s">
        <v>131</v>
      </c>
      <c r="AF64" s="7"/>
      <c r="AG64" s="85"/>
      <c r="AH64" s="85"/>
      <c r="AI64" s="7"/>
      <c r="AJ64" s="7"/>
      <c r="AK64" s="85"/>
      <c r="AL64" s="97">
        <f t="shared" si="0"/>
        <v>349653.68</v>
      </c>
      <c r="AM64" s="92">
        <f>28919.72+5301.09+2987.15+27188.78</f>
        <v>64396.74</v>
      </c>
      <c r="AN64" s="92">
        <f>41255.42</f>
        <v>41255.42</v>
      </c>
      <c r="AO64" s="82">
        <f t="shared" si="1"/>
        <v>105652.16</v>
      </c>
    </row>
    <row r="65" spans="1:41" s="1" customFormat="1" ht="38.25" x14ac:dyDescent="0.25">
      <c r="A65" s="18" t="s">
        <v>536</v>
      </c>
      <c r="B65" s="31" t="s">
        <v>432</v>
      </c>
      <c r="C65" s="29" t="s">
        <v>433</v>
      </c>
      <c r="D65" s="54" t="s">
        <v>87</v>
      </c>
      <c r="E65" s="54"/>
      <c r="F65" s="31" t="s">
        <v>409</v>
      </c>
      <c r="G65" s="7" t="s">
        <v>131</v>
      </c>
      <c r="H65" s="53" t="s">
        <v>434</v>
      </c>
      <c r="I65" s="7" t="s">
        <v>131</v>
      </c>
      <c r="J65" s="7" t="s">
        <v>131</v>
      </c>
      <c r="K65" s="77" t="s">
        <v>435</v>
      </c>
      <c r="L65" s="44" t="s">
        <v>400</v>
      </c>
      <c r="M65" s="29" t="s">
        <v>401</v>
      </c>
      <c r="N65" s="40">
        <v>44405</v>
      </c>
      <c r="O65" s="85">
        <v>85000</v>
      </c>
      <c r="P65" s="46">
        <v>13076</v>
      </c>
      <c r="Q65" s="40">
        <v>44405</v>
      </c>
      <c r="R65" s="40">
        <v>44561</v>
      </c>
      <c r="S65" s="45" t="s">
        <v>231</v>
      </c>
      <c r="T65" s="89" t="s">
        <v>131</v>
      </c>
      <c r="U65" s="7" t="s">
        <v>189</v>
      </c>
      <c r="V65" s="85" t="s">
        <v>131</v>
      </c>
      <c r="W65" s="7" t="s">
        <v>111</v>
      </c>
      <c r="X65" s="7" t="s">
        <v>131</v>
      </c>
      <c r="Y65" s="7" t="s">
        <v>131</v>
      </c>
      <c r="Z65" s="7" t="s">
        <v>131</v>
      </c>
      <c r="AA65" s="7" t="s">
        <v>131</v>
      </c>
      <c r="AB65" s="7" t="s">
        <v>131</v>
      </c>
      <c r="AC65" s="7" t="s">
        <v>131</v>
      </c>
      <c r="AD65" s="7" t="s">
        <v>131</v>
      </c>
      <c r="AE65" s="7" t="s">
        <v>131</v>
      </c>
      <c r="AF65" s="7"/>
      <c r="AG65" s="85"/>
      <c r="AH65" s="85"/>
      <c r="AI65" s="7"/>
      <c r="AJ65" s="7"/>
      <c r="AK65" s="85"/>
      <c r="AL65" s="97">
        <f t="shared" si="0"/>
        <v>85000</v>
      </c>
      <c r="AM65" s="92">
        <f>9327.32+15346+12000</f>
        <v>36673.32</v>
      </c>
      <c r="AN65" s="92">
        <v>12000</v>
      </c>
      <c r="AO65" s="82">
        <f t="shared" si="1"/>
        <v>48673.32</v>
      </c>
    </row>
    <row r="66" spans="1:41" s="1" customFormat="1" ht="38.25" x14ac:dyDescent="0.25">
      <c r="A66" s="18" t="s">
        <v>537</v>
      </c>
      <c r="B66" s="31" t="s">
        <v>436</v>
      </c>
      <c r="C66" s="29" t="s">
        <v>229</v>
      </c>
      <c r="D66" s="54" t="s">
        <v>87</v>
      </c>
      <c r="E66" s="54"/>
      <c r="F66" s="31" t="s">
        <v>444</v>
      </c>
      <c r="G66" s="7" t="s">
        <v>131</v>
      </c>
      <c r="H66" s="53" t="s">
        <v>437</v>
      </c>
      <c r="I66" s="7" t="s">
        <v>131</v>
      </c>
      <c r="J66" s="7" t="s">
        <v>131</v>
      </c>
      <c r="K66" s="77" t="s">
        <v>368</v>
      </c>
      <c r="L66" s="44" t="s">
        <v>242</v>
      </c>
      <c r="M66" s="29" t="s">
        <v>320</v>
      </c>
      <c r="N66" s="40">
        <v>44237</v>
      </c>
      <c r="O66" s="85">
        <v>285426</v>
      </c>
      <c r="P66" s="46">
        <v>12983</v>
      </c>
      <c r="Q66" s="40">
        <v>44237</v>
      </c>
      <c r="R66" s="40">
        <v>44601</v>
      </c>
      <c r="S66" s="7" t="s">
        <v>197</v>
      </c>
      <c r="T66" s="89" t="s">
        <v>131</v>
      </c>
      <c r="U66" s="7" t="s">
        <v>189</v>
      </c>
      <c r="V66" s="85" t="s">
        <v>131</v>
      </c>
      <c r="W66" s="7" t="s">
        <v>111</v>
      </c>
      <c r="X66" s="7" t="s">
        <v>131</v>
      </c>
      <c r="Y66" s="7">
        <v>1</v>
      </c>
      <c r="Z66" s="40">
        <v>44600</v>
      </c>
      <c r="AA66" s="46">
        <v>13233</v>
      </c>
      <c r="AB66" s="7" t="s">
        <v>138</v>
      </c>
      <c r="AC66" s="39">
        <v>44603</v>
      </c>
      <c r="AD66" s="39">
        <v>44967</v>
      </c>
      <c r="AE66" s="7" t="s">
        <v>131</v>
      </c>
      <c r="AF66" s="7"/>
      <c r="AG66" s="85"/>
      <c r="AH66" s="85"/>
      <c r="AI66" s="7"/>
      <c r="AJ66" s="7"/>
      <c r="AK66" s="85"/>
      <c r="AL66" s="97">
        <f t="shared" si="0"/>
        <v>285426</v>
      </c>
      <c r="AM66" s="92">
        <f>14271.3+14271.3+19028.4+23785.5</f>
        <v>71356.5</v>
      </c>
      <c r="AN66" s="92">
        <f>23785.5+23785.5+23785.5</f>
        <v>71356.5</v>
      </c>
      <c r="AO66" s="82">
        <f t="shared" si="1"/>
        <v>142713</v>
      </c>
    </row>
    <row r="67" spans="1:41" s="1" customFormat="1" ht="38.25" x14ac:dyDescent="0.25">
      <c r="A67" s="18" t="s">
        <v>538</v>
      </c>
      <c r="B67" s="31" t="s">
        <v>442</v>
      </c>
      <c r="C67" s="29" t="s">
        <v>441</v>
      </c>
      <c r="D67" s="54" t="s">
        <v>87</v>
      </c>
      <c r="E67" s="54"/>
      <c r="F67" s="31" t="s">
        <v>443</v>
      </c>
      <c r="G67" s="7" t="s">
        <v>131</v>
      </c>
      <c r="H67" s="53" t="s">
        <v>445</v>
      </c>
      <c r="I67" s="7" t="s">
        <v>131</v>
      </c>
      <c r="J67" s="7" t="s">
        <v>131</v>
      </c>
      <c r="K67" s="77" t="s">
        <v>446</v>
      </c>
      <c r="L67" s="44" t="s">
        <v>447</v>
      </c>
      <c r="M67" s="29" t="s">
        <v>455</v>
      </c>
      <c r="N67" s="40">
        <v>44460</v>
      </c>
      <c r="O67" s="85">
        <v>184500</v>
      </c>
      <c r="P67" s="46">
        <v>13135</v>
      </c>
      <c r="Q67" s="40">
        <v>44460</v>
      </c>
      <c r="R67" s="40">
        <v>44561</v>
      </c>
      <c r="S67" s="7">
        <v>101</v>
      </c>
      <c r="T67" s="89" t="s">
        <v>131</v>
      </c>
      <c r="U67" s="7" t="s">
        <v>189</v>
      </c>
      <c r="V67" s="85" t="s">
        <v>131</v>
      </c>
      <c r="W67" s="7" t="s">
        <v>112</v>
      </c>
      <c r="X67" s="7" t="s">
        <v>131</v>
      </c>
      <c r="Y67" s="7" t="s">
        <v>131</v>
      </c>
      <c r="Z67" s="7" t="s">
        <v>131</v>
      </c>
      <c r="AA67" s="7" t="s">
        <v>131</v>
      </c>
      <c r="AB67" s="7" t="s">
        <v>131</v>
      </c>
      <c r="AC67" s="7" t="s">
        <v>131</v>
      </c>
      <c r="AD67" s="7" t="s">
        <v>131</v>
      </c>
      <c r="AE67" s="7" t="s">
        <v>131</v>
      </c>
      <c r="AF67" s="7"/>
      <c r="AG67" s="85"/>
      <c r="AH67" s="85"/>
      <c r="AI67" s="7"/>
      <c r="AJ67" s="7"/>
      <c r="AK67" s="85"/>
      <c r="AL67" s="97">
        <f t="shared" si="0"/>
        <v>184500</v>
      </c>
      <c r="AM67" s="92">
        <f>46125+46125+46125</f>
        <v>138375</v>
      </c>
      <c r="AN67" s="92">
        <f>46125</f>
        <v>46125</v>
      </c>
      <c r="AO67" s="82">
        <f t="shared" si="1"/>
        <v>184500</v>
      </c>
    </row>
    <row r="68" spans="1:41" s="1" customFormat="1" ht="38.25" x14ac:dyDescent="0.25">
      <c r="A68" s="18" t="s">
        <v>351</v>
      </c>
      <c r="B68" s="31" t="s">
        <v>453</v>
      </c>
      <c r="C68" s="29" t="s">
        <v>451</v>
      </c>
      <c r="D68" s="54" t="s">
        <v>87</v>
      </c>
      <c r="E68" s="54"/>
      <c r="F68" s="31" t="s">
        <v>450</v>
      </c>
      <c r="G68" s="7" t="s">
        <v>131</v>
      </c>
      <c r="H68" s="53" t="s">
        <v>449</v>
      </c>
      <c r="I68" s="7" t="s">
        <v>131</v>
      </c>
      <c r="J68" s="7" t="s">
        <v>131</v>
      </c>
      <c r="K68" s="77" t="s">
        <v>448</v>
      </c>
      <c r="L68" s="44" t="s">
        <v>452</v>
      </c>
      <c r="M68" s="29" t="s">
        <v>454</v>
      </c>
      <c r="N68" s="40">
        <v>44468</v>
      </c>
      <c r="O68" s="85">
        <v>2053695.6</v>
      </c>
      <c r="P68" s="46">
        <v>13140</v>
      </c>
      <c r="Q68" s="40">
        <v>44468</v>
      </c>
      <c r="R68" s="40">
        <v>44832</v>
      </c>
      <c r="S68" s="7" t="s">
        <v>197</v>
      </c>
      <c r="T68" s="89" t="s">
        <v>131</v>
      </c>
      <c r="U68" s="7" t="s">
        <v>189</v>
      </c>
      <c r="V68" s="85" t="s">
        <v>131</v>
      </c>
      <c r="W68" s="7" t="s">
        <v>110</v>
      </c>
      <c r="X68" s="7" t="s">
        <v>131</v>
      </c>
      <c r="Y68" s="7" t="s">
        <v>131</v>
      </c>
      <c r="Z68" s="7" t="s">
        <v>131</v>
      </c>
      <c r="AA68" s="7" t="s">
        <v>131</v>
      </c>
      <c r="AB68" s="7" t="s">
        <v>131</v>
      </c>
      <c r="AC68" s="7" t="s">
        <v>131</v>
      </c>
      <c r="AD68" s="7" t="s">
        <v>131</v>
      </c>
      <c r="AE68" s="7" t="s">
        <v>131</v>
      </c>
      <c r="AF68" s="7"/>
      <c r="AG68" s="85"/>
      <c r="AH68" s="85"/>
      <c r="AI68" s="7"/>
      <c r="AJ68" s="7"/>
      <c r="AK68" s="85"/>
      <c r="AL68" s="97">
        <f t="shared" si="0"/>
        <v>2053695.6</v>
      </c>
      <c r="AM68" s="92">
        <f>25100.74+9127.54+3232.67+22818.84+31375.91+11029.11+31756.23+5704.71+22818.84+41773.2+11409.42+26051.51</f>
        <v>242198.72</v>
      </c>
      <c r="AN68" s="92">
        <f>22818.84+17114.13+28523.55+33308.15+22818.84+62751.81+34228.26+62751.81+22818.84+28523.55+68456.52+11409.42+34228.26+11409.42+24910.57+94317.87+5704.71+22818.84</f>
        <v>608913.39</v>
      </c>
      <c r="AO68" s="82">
        <f t="shared" si="1"/>
        <v>851112.11</v>
      </c>
    </row>
    <row r="69" spans="1:41" s="1" customFormat="1" ht="38.25" x14ac:dyDescent="0.25">
      <c r="A69" s="18" t="s">
        <v>539</v>
      </c>
      <c r="B69" s="31" t="s">
        <v>461</v>
      </c>
      <c r="C69" s="29" t="s">
        <v>462</v>
      </c>
      <c r="D69" s="54" t="s">
        <v>87</v>
      </c>
      <c r="E69" s="54"/>
      <c r="F69" s="31" t="s">
        <v>458</v>
      </c>
      <c r="G69" s="7" t="s">
        <v>131</v>
      </c>
      <c r="H69" s="53" t="s">
        <v>463</v>
      </c>
      <c r="I69" s="7" t="s">
        <v>131</v>
      </c>
      <c r="J69" s="7" t="s">
        <v>131</v>
      </c>
      <c r="K69" s="77" t="s">
        <v>464</v>
      </c>
      <c r="L69" s="44" t="s">
        <v>459</v>
      </c>
      <c r="M69" s="29" t="s">
        <v>460</v>
      </c>
      <c r="N69" s="40">
        <v>44508</v>
      </c>
      <c r="O69" s="85">
        <v>107562.5</v>
      </c>
      <c r="P69" s="46">
        <v>13162</v>
      </c>
      <c r="Q69" s="40">
        <v>44508</v>
      </c>
      <c r="R69" s="40">
        <v>44873</v>
      </c>
      <c r="S69" s="7" t="s">
        <v>399</v>
      </c>
      <c r="T69" s="89" t="s">
        <v>131</v>
      </c>
      <c r="U69" s="7" t="s">
        <v>189</v>
      </c>
      <c r="V69" s="85" t="s">
        <v>131</v>
      </c>
      <c r="W69" s="29" t="s">
        <v>465</v>
      </c>
      <c r="X69" s="7" t="s">
        <v>131</v>
      </c>
      <c r="Y69" s="7" t="s">
        <v>131</v>
      </c>
      <c r="Z69" s="7" t="s">
        <v>131</v>
      </c>
      <c r="AA69" s="7" t="s">
        <v>131</v>
      </c>
      <c r="AB69" s="7" t="s">
        <v>131</v>
      </c>
      <c r="AC69" s="7" t="s">
        <v>131</v>
      </c>
      <c r="AD69" s="7" t="s">
        <v>131</v>
      </c>
      <c r="AE69" s="7" t="s">
        <v>131</v>
      </c>
      <c r="AF69" s="7"/>
      <c r="AG69" s="85"/>
      <c r="AH69" s="85"/>
      <c r="AI69" s="7"/>
      <c r="AJ69" s="7"/>
      <c r="AK69" s="85"/>
      <c r="AL69" s="97">
        <f t="shared" si="0"/>
        <v>107562.5</v>
      </c>
      <c r="AM69" s="92">
        <f>2837.5+6185</f>
        <v>9022.5</v>
      </c>
      <c r="AN69" s="92">
        <f>3780+4835+3885+2727+500+147+2061+5208+2185+4450</f>
        <v>29778</v>
      </c>
      <c r="AO69" s="82">
        <f t="shared" si="1"/>
        <v>38800.5</v>
      </c>
    </row>
    <row r="70" spans="1:41" s="1" customFormat="1" ht="38.25" x14ac:dyDescent="0.25">
      <c r="A70" s="18" t="s">
        <v>352</v>
      </c>
      <c r="B70" s="31" t="s">
        <v>469</v>
      </c>
      <c r="C70" s="29" t="s">
        <v>470</v>
      </c>
      <c r="D70" s="54" t="s">
        <v>87</v>
      </c>
      <c r="E70" s="54"/>
      <c r="F70" s="31" t="s">
        <v>468</v>
      </c>
      <c r="G70" s="7" t="s">
        <v>131</v>
      </c>
      <c r="H70" s="53" t="s">
        <v>471</v>
      </c>
      <c r="I70" s="7" t="s">
        <v>131</v>
      </c>
      <c r="J70" s="7" t="s">
        <v>131</v>
      </c>
      <c r="K70" s="77" t="s">
        <v>472</v>
      </c>
      <c r="L70" s="44" t="s">
        <v>473</v>
      </c>
      <c r="M70" s="29" t="s">
        <v>474</v>
      </c>
      <c r="N70" s="40">
        <v>44529</v>
      </c>
      <c r="O70" s="85">
        <v>219.4</v>
      </c>
      <c r="P70" s="46">
        <v>13176</v>
      </c>
      <c r="Q70" s="40">
        <v>44529</v>
      </c>
      <c r="R70" s="40">
        <v>44561</v>
      </c>
      <c r="S70" s="7" t="s">
        <v>399</v>
      </c>
      <c r="T70" s="89" t="s">
        <v>131</v>
      </c>
      <c r="U70" s="7" t="s">
        <v>189</v>
      </c>
      <c r="V70" s="85" t="s">
        <v>131</v>
      </c>
      <c r="W70" s="29" t="s">
        <v>111</v>
      </c>
      <c r="X70" s="7" t="s">
        <v>131</v>
      </c>
      <c r="Y70" s="7" t="s">
        <v>131</v>
      </c>
      <c r="Z70" s="7" t="s">
        <v>131</v>
      </c>
      <c r="AA70" s="7" t="s">
        <v>131</v>
      </c>
      <c r="AB70" s="7" t="s">
        <v>131</v>
      </c>
      <c r="AC70" s="7" t="s">
        <v>131</v>
      </c>
      <c r="AD70" s="7" t="s">
        <v>131</v>
      </c>
      <c r="AE70" s="7" t="s">
        <v>131</v>
      </c>
      <c r="AF70" s="7"/>
      <c r="AG70" s="85"/>
      <c r="AH70" s="85"/>
      <c r="AI70" s="7"/>
      <c r="AJ70" s="7"/>
      <c r="AK70" s="85"/>
      <c r="AL70" s="97">
        <f t="shared" si="0"/>
        <v>219.4</v>
      </c>
      <c r="AM70" s="92"/>
      <c r="AN70" s="92">
        <v>822.06</v>
      </c>
      <c r="AO70" s="82">
        <f t="shared" si="1"/>
        <v>822.06</v>
      </c>
    </row>
    <row r="71" spans="1:41" s="1" customFormat="1" ht="38.25" x14ac:dyDescent="0.25">
      <c r="A71" s="18" t="s">
        <v>353</v>
      </c>
      <c r="B71" s="31" t="s">
        <v>476</v>
      </c>
      <c r="C71" s="29" t="s">
        <v>477</v>
      </c>
      <c r="D71" s="54" t="s">
        <v>87</v>
      </c>
      <c r="E71" s="54"/>
      <c r="F71" s="31" t="s">
        <v>475</v>
      </c>
      <c r="G71" s="7" t="s">
        <v>131</v>
      </c>
      <c r="H71" s="53" t="s">
        <v>478</v>
      </c>
      <c r="I71" s="7" t="s">
        <v>131</v>
      </c>
      <c r="J71" s="7" t="s">
        <v>131</v>
      </c>
      <c r="K71" s="77" t="s">
        <v>479</v>
      </c>
      <c r="L71" s="44" t="s">
        <v>480</v>
      </c>
      <c r="M71" s="29" t="s">
        <v>481</v>
      </c>
      <c r="N71" s="40">
        <v>44533</v>
      </c>
      <c r="O71" s="85">
        <v>52955</v>
      </c>
      <c r="P71" s="46">
        <v>13179</v>
      </c>
      <c r="Q71" s="40">
        <v>44533</v>
      </c>
      <c r="R71" s="40">
        <v>44926</v>
      </c>
      <c r="S71" s="7" t="s">
        <v>399</v>
      </c>
      <c r="T71" s="89" t="s">
        <v>131</v>
      </c>
      <c r="U71" s="7" t="s">
        <v>189</v>
      </c>
      <c r="V71" s="85" t="s">
        <v>131</v>
      </c>
      <c r="W71" s="29" t="s">
        <v>111</v>
      </c>
      <c r="X71" s="7" t="s">
        <v>131</v>
      </c>
      <c r="Y71" s="7" t="s">
        <v>131</v>
      </c>
      <c r="Z71" s="7" t="s">
        <v>131</v>
      </c>
      <c r="AA71" s="7" t="s">
        <v>131</v>
      </c>
      <c r="AB71" s="7" t="s">
        <v>131</v>
      </c>
      <c r="AC71" s="7" t="s">
        <v>131</v>
      </c>
      <c r="AD71" s="7" t="s">
        <v>131</v>
      </c>
      <c r="AE71" s="7" t="s">
        <v>131</v>
      </c>
      <c r="AF71" s="7"/>
      <c r="AG71" s="85"/>
      <c r="AH71" s="85"/>
      <c r="AI71" s="7"/>
      <c r="AJ71" s="7"/>
      <c r="AK71" s="85"/>
      <c r="AL71" s="97">
        <f t="shared" si="0"/>
        <v>52955</v>
      </c>
      <c r="AM71" s="92"/>
      <c r="AN71" s="92">
        <f>15130+7565</f>
        <v>22695</v>
      </c>
      <c r="AO71" s="82">
        <f t="shared" si="1"/>
        <v>22695</v>
      </c>
    </row>
    <row r="72" spans="1:41" s="1" customFormat="1" ht="38.25" x14ac:dyDescent="0.25">
      <c r="A72" s="18" t="s">
        <v>354</v>
      </c>
      <c r="B72" s="31" t="s">
        <v>469</v>
      </c>
      <c r="C72" s="29" t="s">
        <v>483</v>
      </c>
      <c r="D72" s="54" t="s">
        <v>87</v>
      </c>
      <c r="E72" s="54"/>
      <c r="F72" s="31" t="s">
        <v>475</v>
      </c>
      <c r="G72" s="7" t="s">
        <v>131</v>
      </c>
      <c r="H72" s="53" t="s">
        <v>484</v>
      </c>
      <c r="I72" s="7" t="s">
        <v>131</v>
      </c>
      <c r="J72" s="7" t="s">
        <v>131</v>
      </c>
      <c r="K72" s="77" t="s">
        <v>482</v>
      </c>
      <c r="L72" s="44" t="s">
        <v>485</v>
      </c>
      <c r="M72" s="29" t="s">
        <v>486</v>
      </c>
      <c r="N72" s="40">
        <v>44529</v>
      </c>
      <c r="O72" s="85">
        <v>822.06</v>
      </c>
      <c r="P72" s="46">
        <v>13176</v>
      </c>
      <c r="Q72" s="40">
        <v>44529</v>
      </c>
      <c r="R72" s="40">
        <v>44561</v>
      </c>
      <c r="S72" s="7" t="s">
        <v>399</v>
      </c>
      <c r="T72" s="89" t="s">
        <v>131</v>
      </c>
      <c r="U72" s="7" t="s">
        <v>189</v>
      </c>
      <c r="V72" s="85" t="s">
        <v>131</v>
      </c>
      <c r="W72" s="29" t="s">
        <v>111</v>
      </c>
      <c r="X72" s="7" t="s">
        <v>131</v>
      </c>
      <c r="Y72" s="7" t="s">
        <v>131</v>
      </c>
      <c r="Z72" s="7" t="s">
        <v>131</v>
      </c>
      <c r="AA72" s="7" t="s">
        <v>131</v>
      </c>
      <c r="AB72" s="7" t="s">
        <v>131</v>
      </c>
      <c r="AC72" s="7" t="s">
        <v>131</v>
      </c>
      <c r="AD72" s="7" t="s">
        <v>131</v>
      </c>
      <c r="AE72" s="7" t="s">
        <v>131</v>
      </c>
      <c r="AF72" s="7"/>
      <c r="AG72" s="85"/>
      <c r="AH72" s="85"/>
      <c r="AI72" s="7"/>
      <c r="AJ72" s="7"/>
      <c r="AK72" s="85"/>
      <c r="AL72" s="97">
        <f t="shared" si="0"/>
        <v>822.06</v>
      </c>
      <c r="AM72" s="92"/>
      <c r="AN72" s="92">
        <v>219.4</v>
      </c>
      <c r="AO72" s="82">
        <f t="shared" si="1"/>
        <v>219.4</v>
      </c>
    </row>
    <row r="73" spans="1:41" s="1" customFormat="1" ht="38.25" x14ac:dyDescent="0.25">
      <c r="A73" s="18" t="s">
        <v>355</v>
      </c>
      <c r="B73" s="31" t="s">
        <v>469</v>
      </c>
      <c r="C73" s="29" t="s">
        <v>483</v>
      </c>
      <c r="D73" s="54" t="s">
        <v>87</v>
      </c>
      <c r="E73" s="54"/>
      <c r="F73" s="31" t="s">
        <v>468</v>
      </c>
      <c r="G73" s="7" t="s">
        <v>131</v>
      </c>
      <c r="H73" s="53" t="s">
        <v>484</v>
      </c>
      <c r="I73" s="7" t="s">
        <v>131</v>
      </c>
      <c r="J73" s="7" t="s">
        <v>131</v>
      </c>
      <c r="K73" s="77" t="s">
        <v>319</v>
      </c>
      <c r="L73" s="44" t="s">
        <v>488</v>
      </c>
      <c r="M73" s="31" t="s">
        <v>489</v>
      </c>
      <c r="N73" s="39">
        <v>44529</v>
      </c>
      <c r="O73" s="86">
        <v>355</v>
      </c>
      <c r="P73" s="53">
        <v>13177</v>
      </c>
      <c r="Q73" s="39">
        <v>44529</v>
      </c>
      <c r="R73" s="39" t="s">
        <v>493</v>
      </c>
      <c r="S73" s="51" t="s">
        <v>399</v>
      </c>
      <c r="T73" s="90" t="s">
        <v>131</v>
      </c>
      <c r="U73" s="51" t="s">
        <v>189</v>
      </c>
      <c r="V73" s="86" t="s">
        <v>131</v>
      </c>
      <c r="W73" s="31" t="s">
        <v>111</v>
      </c>
      <c r="X73" s="7" t="s">
        <v>131</v>
      </c>
      <c r="Y73" s="7" t="s">
        <v>131</v>
      </c>
      <c r="Z73" s="7" t="s">
        <v>131</v>
      </c>
      <c r="AA73" s="7" t="s">
        <v>131</v>
      </c>
      <c r="AB73" s="7" t="s">
        <v>131</v>
      </c>
      <c r="AC73" s="7" t="s">
        <v>131</v>
      </c>
      <c r="AD73" s="7" t="s">
        <v>131</v>
      </c>
      <c r="AE73" s="7" t="s">
        <v>131</v>
      </c>
      <c r="AF73" s="7"/>
      <c r="AG73" s="85"/>
      <c r="AH73" s="85"/>
      <c r="AI73" s="7"/>
      <c r="AJ73" s="7"/>
      <c r="AK73" s="85"/>
      <c r="AL73" s="97">
        <f t="shared" si="0"/>
        <v>355</v>
      </c>
      <c r="AM73" s="92"/>
      <c r="AN73" s="92">
        <v>355</v>
      </c>
      <c r="AO73" s="82">
        <f t="shared" si="1"/>
        <v>355</v>
      </c>
    </row>
    <row r="74" spans="1:41" s="1" customFormat="1" ht="38.25" x14ac:dyDescent="0.25">
      <c r="A74" s="18" t="s">
        <v>356</v>
      </c>
      <c r="B74" s="31" t="s">
        <v>494</v>
      </c>
      <c r="C74" s="7" t="s">
        <v>131</v>
      </c>
      <c r="D74" s="54" t="s">
        <v>87</v>
      </c>
      <c r="E74" s="54"/>
      <c r="F74" s="31" t="s">
        <v>468</v>
      </c>
      <c r="G74" s="7" t="s">
        <v>131</v>
      </c>
      <c r="H74" s="7" t="s">
        <v>131</v>
      </c>
      <c r="I74" s="7" t="s">
        <v>131</v>
      </c>
      <c r="J74" s="7" t="s">
        <v>131</v>
      </c>
      <c r="K74" s="77" t="s">
        <v>490</v>
      </c>
      <c r="L74" s="44" t="s">
        <v>491</v>
      </c>
      <c r="M74" s="29" t="s">
        <v>492</v>
      </c>
      <c r="N74" s="40">
        <v>44539</v>
      </c>
      <c r="O74" s="85">
        <v>36000</v>
      </c>
      <c r="P74" s="46">
        <v>13185</v>
      </c>
      <c r="Q74" s="40">
        <v>44539</v>
      </c>
      <c r="R74" s="40">
        <v>44904</v>
      </c>
      <c r="S74" s="7" t="s">
        <v>197</v>
      </c>
      <c r="T74" s="89" t="s">
        <v>131</v>
      </c>
      <c r="U74" s="7" t="s">
        <v>189</v>
      </c>
      <c r="V74" s="85" t="s">
        <v>131</v>
      </c>
      <c r="W74" s="29" t="s">
        <v>109</v>
      </c>
      <c r="X74" s="7" t="s">
        <v>131</v>
      </c>
      <c r="Y74" s="7" t="s">
        <v>131</v>
      </c>
      <c r="Z74" s="7" t="s">
        <v>131</v>
      </c>
      <c r="AA74" s="7" t="s">
        <v>131</v>
      </c>
      <c r="AB74" s="7" t="s">
        <v>131</v>
      </c>
      <c r="AC74" s="7" t="s">
        <v>131</v>
      </c>
      <c r="AD74" s="7" t="s">
        <v>131</v>
      </c>
      <c r="AE74" s="7" t="s">
        <v>131</v>
      </c>
      <c r="AF74" s="7"/>
      <c r="AG74" s="85"/>
      <c r="AH74" s="85"/>
      <c r="AI74" s="7"/>
      <c r="AJ74" s="7"/>
      <c r="AK74" s="85"/>
      <c r="AL74" s="97">
        <f t="shared" si="0"/>
        <v>36000</v>
      </c>
      <c r="AM74" s="92"/>
      <c r="AN74" s="92">
        <f>3000+1900+3000+3000+3000+3000+3000</f>
        <v>19900</v>
      </c>
      <c r="AO74" s="82">
        <f t="shared" si="1"/>
        <v>19900</v>
      </c>
    </row>
    <row r="75" spans="1:41" s="1" customFormat="1" ht="38.25" x14ac:dyDescent="0.25">
      <c r="A75" s="18" t="s">
        <v>540</v>
      </c>
      <c r="B75" s="31" t="s">
        <v>501</v>
      </c>
      <c r="C75" s="29" t="s">
        <v>500</v>
      </c>
      <c r="D75" s="54" t="s">
        <v>87</v>
      </c>
      <c r="E75" s="54"/>
      <c r="F75" s="31" t="s">
        <v>496</v>
      </c>
      <c r="G75" s="7" t="s">
        <v>131</v>
      </c>
      <c r="H75" s="53" t="s">
        <v>499</v>
      </c>
      <c r="I75" s="7" t="s">
        <v>131</v>
      </c>
      <c r="J75" s="7" t="s">
        <v>131</v>
      </c>
      <c r="K75" s="77" t="s">
        <v>497</v>
      </c>
      <c r="L75" s="44" t="s">
        <v>498</v>
      </c>
      <c r="M75" s="29" t="s">
        <v>395</v>
      </c>
      <c r="N75" s="40">
        <v>44613</v>
      </c>
      <c r="O75" s="85">
        <v>506000</v>
      </c>
      <c r="P75" s="46">
        <v>13232</v>
      </c>
      <c r="Q75" s="40">
        <v>44613</v>
      </c>
      <c r="R75" s="40">
        <v>44926</v>
      </c>
      <c r="S75" s="7" t="s">
        <v>517</v>
      </c>
      <c r="T75" s="89" t="s">
        <v>131</v>
      </c>
      <c r="U75" s="7" t="s">
        <v>189</v>
      </c>
      <c r="V75" s="85" t="s">
        <v>131</v>
      </c>
      <c r="W75" s="29" t="s">
        <v>111</v>
      </c>
      <c r="X75" s="7" t="s">
        <v>131</v>
      </c>
      <c r="Y75" s="7" t="s">
        <v>131</v>
      </c>
      <c r="Z75" s="7" t="s">
        <v>131</v>
      </c>
      <c r="AA75" s="7" t="s">
        <v>131</v>
      </c>
      <c r="AB75" s="7" t="s">
        <v>131</v>
      </c>
      <c r="AC75" s="7" t="s">
        <v>131</v>
      </c>
      <c r="AD75" s="7" t="s">
        <v>131</v>
      </c>
      <c r="AE75" s="7" t="s">
        <v>131</v>
      </c>
      <c r="AF75" s="7"/>
      <c r="AG75" s="85"/>
      <c r="AH75" s="85"/>
      <c r="AI75" s="7"/>
      <c r="AJ75" s="7"/>
      <c r="AK75" s="85"/>
      <c r="AL75" s="97">
        <f t="shared" si="0"/>
        <v>506000</v>
      </c>
      <c r="AM75" s="92"/>
      <c r="AN75" s="92">
        <f>31498.5+22517+11638+74053.1+113.85+23529+3431.98+3719.9+26180.87+71674.9+32257.5+1948.1+22770+253+1808.95+23529+59227.3+33332.75</f>
        <v>443483.69999999995</v>
      </c>
      <c r="AO75" s="82">
        <f t="shared" si="1"/>
        <v>443483.69999999995</v>
      </c>
    </row>
    <row r="76" spans="1:41" s="1" customFormat="1" ht="38.25" x14ac:dyDescent="0.25">
      <c r="A76" s="18" t="s">
        <v>541</v>
      </c>
      <c r="B76" s="31" t="s">
        <v>505</v>
      </c>
      <c r="C76" s="29" t="s">
        <v>504</v>
      </c>
      <c r="D76" s="54" t="s">
        <v>87</v>
      </c>
      <c r="E76" s="54"/>
      <c r="F76" s="31" t="s">
        <v>496</v>
      </c>
      <c r="G76" s="7" t="s">
        <v>131</v>
      </c>
      <c r="H76" s="53" t="s">
        <v>396</v>
      </c>
      <c r="I76" s="7" t="s">
        <v>131</v>
      </c>
      <c r="J76" s="7" t="s">
        <v>131</v>
      </c>
      <c r="K76" s="77" t="s">
        <v>506</v>
      </c>
      <c r="L76" s="44" t="s">
        <v>502</v>
      </c>
      <c r="M76" s="31" t="s">
        <v>503</v>
      </c>
      <c r="N76" s="31">
        <v>44536</v>
      </c>
      <c r="O76" s="86">
        <v>33112</v>
      </c>
      <c r="P76" s="38">
        <v>13181</v>
      </c>
      <c r="Q76" s="39">
        <v>44536</v>
      </c>
      <c r="R76" s="39">
        <v>44561</v>
      </c>
      <c r="S76" s="31">
        <v>101</v>
      </c>
      <c r="T76" s="44" t="s">
        <v>131</v>
      </c>
      <c r="U76" s="31" t="s">
        <v>189</v>
      </c>
      <c r="V76" s="92" t="s">
        <v>131</v>
      </c>
      <c r="W76" s="31" t="s">
        <v>112</v>
      </c>
      <c r="X76" s="51" t="s">
        <v>131</v>
      </c>
      <c r="Y76" s="51" t="s">
        <v>131</v>
      </c>
      <c r="Z76" s="51" t="s">
        <v>131</v>
      </c>
      <c r="AA76" s="51" t="s">
        <v>131</v>
      </c>
      <c r="AB76" s="51" t="s">
        <v>131</v>
      </c>
      <c r="AC76" s="7" t="s">
        <v>131</v>
      </c>
      <c r="AD76" s="7" t="s">
        <v>131</v>
      </c>
      <c r="AE76" s="7" t="s">
        <v>131</v>
      </c>
      <c r="AF76" s="7"/>
      <c r="AG76" s="85"/>
      <c r="AH76" s="85"/>
      <c r="AI76" s="7"/>
      <c r="AJ76" s="7"/>
      <c r="AK76" s="85"/>
      <c r="AL76" s="97">
        <f t="shared" si="0"/>
        <v>33112</v>
      </c>
      <c r="AM76" s="92"/>
      <c r="AN76" s="92">
        <v>33112</v>
      </c>
      <c r="AO76" s="82">
        <f t="shared" si="1"/>
        <v>33112</v>
      </c>
    </row>
    <row r="77" spans="1:41" s="1" customFormat="1" ht="38.25" x14ac:dyDescent="0.25">
      <c r="A77" s="18" t="s">
        <v>357</v>
      </c>
      <c r="B77" s="31" t="s">
        <v>507</v>
      </c>
      <c r="C77" s="29" t="s">
        <v>508</v>
      </c>
      <c r="D77" s="54" t="s">
        <v>87</v>
      </c>
      <c r="E77" s="54"/>
      <c r="F77" s="31" t="s">
        <v>496</v>
      </c>
      <c r="G77" s="7" t="s">
        <v>131</v>
      </c>
      <c r="H77" s="53" t="s">
        <v>509</v>
      </c>
      <c r="I77" s="7" t="s">
        <v>131</v>
      </c>
      <c r="J77" s="7" t="s">
        <v>131</v>
      </c>
      <c r="K77" s="77" t="s">
        <v>510</v>
      </c>
      <c r="L77" s="44" t="s">
        <v>511</v>
      </c>
      <c r="M77" s="40" t="s">
        <v>312</v>
      </c>
      <c r="N77" s="40">
        <v>44238</v>
      </c>
      <c r="O77" s="85">
        <v>24798.400000000001</v>
      </c>
      <c r="P77" s="40" t="s">
        <v>131</v>
      </c>
      <c r="Q77" s="40">
        <v>44238</v>
      </c>
      <c r="R77" s="40">
        <v>44561</v>
      </c>
      <c r="S77" s="40" t="s">
        <v>197</v>
      </c>
      <c r="T77" s="91" t="s">
        <v>510</v>
      </c>
      <c r="U77" s="40" t="s">
        <v>189</v>
      </c>
      <c r="V77" s="85" t="s">
        <v>131</v>
      </c>
      <c r="W77" s="40" t="s">
        <v>516</v>
      </c>
      <c r="X77" s="7" t="s">
        <v>131</v>
      </c>
      <c r="Y77" s="7" t="s">
        <v>131</v>
      </c>
      <c r="Z77" s="7" t="s">
        <v>131</v>
      </c>
      <c r="AA77" s="7" t="s">
        <v>131</v>
      </c>
      <c r="AB77" s="7" t="s">
        <v>131</v>
      </c>
      <c r="AC77" s="7" t="s">
        <v>131</v>
      </c>
      <c r="AD77" s="7" t="s">
        <v>131</v>
      </c>
      <c r="AE77" s="7" t="s">
        <v>131</v>
      </c>
      <c r="AF77" s="7"/>
      <c r="AG77" s="85"/>
      <c r="AH77" s="85"/>
      <c r="AI77" s="7"/>
      <c r="AJ77" s="7"/>
      <c r="AK77" s="85"/>
      <c r="AL77" s="97">
        <f t="shared" si="0"/>
        <v>24798.400000000001</v>
      </c>
      <c r="AM77" s="92"/>
      <c r="AN77" s="92">
        <v>6671.44</v>
      </c>
      <c r="AO77" s="82">
        <f t="shared" si="1"/>
        <v>6671.44</v>
      </c>
    </row>
    <row r="78" spans="1:41" s="1" customFormat="1" ht="38.25" x14ac:dyDescent="0.25">
      <c r="A78" s="18" t="s">
        <v>358</v>
      </c>
      <c r="B78" s="31" t="s">
        <v>515</v>
      </c>
      <c r="C78" s="29" t="s">
        <v>483</v>
      </c>
      <c r="D78" s="54" t="s">
        <v>87</v>
      </c>
      <c r="E78" s="54"/>
      <c r="F78" s="31" t="s">
        <v>496</v>
      </c>
      <c r="G78" s="7" t="s">
        <v>131</v>
      </c>
      <c r="H78" s="53" t="s">
        <v>484</v>
      </c>
      <c r="I78" s="7" t="s">
        <v>131</v>
      </c>
      <c r="J78" s="7" t="s">
        <v>131</v>
      </c>
      <c r="K78" s="77" t="s">
        <v>512</v>
      </c>
      <c r="L78" s="44" t="s">
        <v>513</v>
      </c>
      <c r="M78" s="29" t="s">
        <v>514</v>
      </c>
      <c r="N78" s="40">
        <v>44498</v>
      </c>
      <c r="O78" s="85">
        <v>519</v>
      </c>
      <c r="P78" s="46">
        <v>13178</v>
      </c>
      <c r="Q78" s="40">
        <v>44498</v>
      </c>
      <c r="R78" s="40">
        <v>44926</v>
      </c>
      <c r="S78" s="7" t="s">
        <v>399</v>
      </c>
      <c r="T78" s="89" t="s">
        <v>131</v>
      </c>
      <c r="U78" s="7" t="s">
        <v>189</v>
      </c>
      <c r="V78" s="85" t="s">
        <v>131</v>
      </c>
      <c r="W78" s="29" t="s">
        <v>111</v>
      </c>
      <c r="X78" s="7" t="s">
        <v>131</v>
      </c>
      <c r="Y78" s="7" t="s">
        <v>131</v>
      </c>
      <c r="Z78" s="7" t="s">
        <v>131</v>
      </c>
      <c r="AA78" s="7" t="s">
        <v>131</v>
      </c>
      <c r="AB78" s="7" t="s">
        <v>131</v>
      </c>
      <c r="AC78" s="7" t="s">
        <v>131</v>
      </c>
      <c r="AD78" s="7" t="s">
        <v>131</v>
      </c>
      <c r="AE78" s="7" t="s">
        <v>131</v>
      </c>
      <c r="AF78" s="7"/>
      <c r="AG78" s="85"/>
      <c r="AH78" s="85"/>
      <c r="AI78" s="7"/>
      <c r="AJ78" s="7"/>
      <c r="AK78" s="85"/>
      <c r="AL78" s="97">
        <f t="shared" si="0"/>
        <v>519</v>
      </c>
      <c r="AM78" s="92"/>
      <c r="AN78" s="92">
        <v>519</v>
      </c>
      <c r="AO78" s="82">
        <f t="shared" si="1"/>
        <v>519</v>
      </c>
    </row>
    <row r="79" spans="1:41" s="1" customFormat="1" ht="38.25" x14ac:dyDescent="0.25">
      <c r="A79" s="18" t="s">
        <v>542</v>
      </c>
      <c r="B79" s="31" t="s">
        <v>545</v>
      </c>
      <c r="C79" s="29" t="s">
        <v>546</v>
      </c>
      <c r="D79" s="54" t="s">
        <v>87</v>
      </c>
      <c r="E79" s="54"/>
      <c r="F79" s="31" t="s">
        <v>496</v>
      </c>
      <c r="G79" s="7" t="s">
        <v>131</v>
      </c>
      <c r="H79" s="53" t="s">
        <v>547</v>
      </c>
      <c r="I79" s="7" t="s">
        <v>131</v>
      </c>
      <c r="J79" s="7" t="s">
        <v>131</v>
      </c>
      <c r="K79" s="77" t="s">
        <v>548</v>
      </c>
      <c r="L79" s="44" t="s">
        <v>549</v>
      </c>
      <c r="M79" s="29" t="s">
        <v>588</v>
      </c>
      <c r="N79" s="40">
        <v>44613</v>
      </c>
      <c r="O79" s="85">
        <v>195000</v>
      </c>
      <c r="P79" s="46">
        <v>13245</v>
      </c>
      <c r="Q79" s="40">
        <v>44613</v>
      </c>
      <c r="R79" s="40">
        <v>44926</v>
      </c>
      <c r="S79" s="7" t="s">
        <v>586</v>
      </c>
      <c r="T79" s="89" t="s">
        <v>131</v>
      </c>
      <c r="U79" s="7" t="s">
        <v>189</v>
      </c>
      <c r="V79" s="85" t="s">
        <v>131</v>
      </c>
      <c r="W79" s="29" t="s">
        <v>111</v>
      </c>
      <c r="X79" s="7" t="s">
        <v>131</v>
      </c>
      <c r="Y79" s="7" t="s">
        <v>131</v>
      </c>
      <c r="Z79" s="7" t="s">
        <v>131</v>
      </c>
      <c r="AA79" s="7" t="s">
        <v>131</v>
      </c>
      <c r="AB79" s="7" t="s">
        <v>131</v>
      </c>
      <c r="AC79" s="7" t="s">
        <v>131</v>
      </c>
      <c r="AD79" s="7" t="s">
        <v>131</v>
      </c>
      <c r="AE79" s="7" t="s">
        <v>131</v>
      </c>
      <c r="AF79" s="7"/>
      <c r="AG79" s="85"/>
      <c r="AH79" s="85"/>
      <c r="AI79" s="7"/>
      <c r="AJ79" s="7"/>
      <c r="AK79" s="85"/>
      <c r="AL79" s="97">
        <f t="shared" si="0"/>
        <v>195000</v>
      </c>
      <c r="AM79" s="92"/>
      <c r="AN79" s="92">
        <f>4290+2925+14300+4504.5+3071.25+9750+2275+6500+2860+9750+5161+5313.75+5541.25+12593.75</f>
        <v>88835.5</v>
      </c>
      <c r="AO79" s="82">
        <f t="shared" si="1"/>
        <v>88835.5</v>
      </c>
    </row>
    <row r="80" spans="1:41" s="1" customFormat="1" ht="38.25" x14ac:dyDescent="0.25">
      <c r="A80" s="18" t="s">
        <v>359</v>
      </c>
      <c r="B80" s="31" t="s">
        <v>267</v>
      </c>
      <c r="C80" s="29" t="s">
        <v>268</v>
      </c>
      <c r="D80" s="54" t="s">
        <v>87</v>
      </c>
      <c r="E80" s="54"/>
      <c r="F80" s="31" t="s">
        <v>496</v>
      </c>
      <c r="G80" s="7" t="s">
        <v>131</v>
      </c>
      <c r="H80" s="53"/>
      <c r="I80" s="7" t="s">
        <v>131</v>
      </c>
      <c r="J80" s="7" t="s">
        <v>131</v>
      </c>
      <c r="K80" s="77" t="s">
        <v>550</v>
      </c>
      <c r="L80" s="44" t="s">
        <v>551</v>
      </c>
      <c r="M80" s="29" t="s">
        <v>591</v>
      </c>
      <c r="N80" s="40">
        <v>44117</v>
      </c>
      <c r="O80" s="85">
        <v>102762.5</v>
      </c>
      <c r="P80" s="46">
        <v>12909</v>
      </c>
      <c r="Q80" s="40">
        <v>44117</v>
      </c>
      <c r="R80" s="40">
        <v>44664</v>
      </c>
      <c r="S80" s="7">
        <v>126</v>
      </c>
      <c r="T80" s="89" t="s">
        <v>131</v>
      </c>
      <c r="U80" s="7" t="s">
        <v>189</v>
      </c>
      <c r="V80" s="85" t="s">
        <v>131</v>
      </c>
      <c r="W80" s="29" t="s">
        <v>110</v>
      </c>
      <c r="X80" s="7" t="s">
        <v>131</v>
      </c>
      <c r="Y80" s="7">
        <v>3</v>
      </c>
      <c r="Z80" s="40">
        <v>44659</v>
      </c>
      <c r="AA80" s="46">
        <v>13272</v>
      </c>
      <c r="AB80" s="7" t="s">
        <v>113</v>
      </c>
      <c r="AC80" s="40">
        <v>44660</v>
      </c>
      <c r="AD80" s="40">
        <v>44842</v>
      </c>
      <c r="AE80" s="7" t="s">
        <v>131</v>
      </c>
      <c r="AF80" s="7"/>
      <c r="AG80" s="85"/>
      <c r="AH80" s="85"/>
      <c r="AI80" s="7"/>
      <c r="AJ80" s="7"/>
      <c r="AK80" s="85"/>
      <c r="AL80" s="97">
        <f t="shared" si="0"/>
        <v>102762.5</v>
      </c>
      <c r="AM80" s="92"/>
      <c r="AN80" s="92">
        <f>46860</f>
        <v>46860</v>
      </c>
      <c r="AO80" s="82">
        <f t="shared" si="1"/>
        <v>46860</v>
      </c>
    </row>
    <row r="81" spans="1:41" s="1" customFormat="1" ht="38.25" x14ac:dyDescent="0.25">
      <c r="A81" s="18" t="s">
        <v>543</v>
      </c>
      <c r="B81" s="31" t="s">
        <v>553</v>
      </c>
      <c r="C81" s="29" t="s">
        <v>554</v>
      </c>
      <c r="D81" s="54" t="s">
        <v>87</v>
      </c>
      <c r="E81" s="54"/>
      <c r="F81" s="31" t="s">
        <v>496</v>
      </c>
      <c r="G81" s="7" t="s">
        <v>131</v>
      </c>
      <c r="H81" s="53" t="s">
        <v>555</v>
      </c>
      <c r="I81" s="7" t="s">
        <v>131</v>
      </c>
      <c r="J81" s="7" t="s">
        <v>131</v>
      </c>
      <c r="K81" s="77" t="s">
        <v>556</v>
      </c>
      <c r="L81" s="44" t="s">
        <v>557</v>
      </c>
      <c r="M81" s="29" t="s">
        <v>592</v>
      </c>
      <c r="N81" s="40">
        <v>43950</v>
      </c>
      <c r="O81" s="85">
        <v>59010</v>
      </c>
      <c r="P81" s="46">
        <v>12797</v>
      </c>
      <c r="Q81" s="40">
        <v>43950</v>
      </c>
      <c r="R81" s="40">
        <v>44196</v>
      </c>
      <c r="S81" s="7" t="s">
        <v>197</v>
      </c>
      <c r="T81" s="89" t="s">
        <v>131</v>
      </c>
      <c r="U81" s="7" t="s">
        <v>189</v>
      </c>
      <c r="V81" s="85" t="s">
        <v>131</v>
      </c>
      <c r="W81" s="29" t="s">
        <v>110</v>
      </c>
      <c r="X81" s="7" t="s">
        <v>131</v>
      </c>
      <c r="Y81" s="7">
        <v>2</v>
      </c>
      <c r="Z81" s="40">
        <v>44560</v>
      </c>
      <c r="AA81" s="46">
        <v>13198</v>
      </c>
      <c r="AB81" s="7" t="s">
        <v>113</v>
      </c>
      <c r="AC81" s="40">
        <v>44562</v>
      </c>
      <c r="AD81" s="40">
        <v>44926</v>
      </c>
      <c r="AE81" s="7" t="s">
        <v>131</v>
      </c>
      <c r="AF81" s="7"/>
      <c r="AG81" s="85"/>
      <c r="AH81" s="85"/>
      <c r="AI81" s="7"/>
      <c r="AJ81" s="7"/>
      <c r="AK81" s="85"/>
      <c r="AL81" s="97">
        <f t="shared" si="0"/>
        <v>59010</v>
      </c>
      <c r="AM81" s="92"/>
      <c r="AN81" s="92">
        <f>9760+10971</f>
        <v>20731</v>
      </c>
      <c r="AO81" s="82">
        <f t="shared" si="1"/>
        <v>20731</v>
      </c>
    </row>
    <row r="82" spans="1:41" s="1" customFormat="1" ht="38.25" x14ac:dyDescent="0.25">
      <c r="A82" s="18" t="s">
        <v>544</v>
      </c>
      <c r="B82" s="31" t="s">
        <v>559</v>
      </c>
      <c r="C82" s="29" t="s">
        <v>560</v>
      </c>
      <c r="D82" s="54" t="s">
        <v>87</v>
      </c>
      <c r="E82" s="54"/>
      <c r="F82" s="31" t="s">
        <v>496</v>
      </c>
      <c r="G82" s="7" t="s">
        <v>131</v>
      </c>
      <c r="H82" s="53" t="s">
        <v>561</v>
      </c>
      <c r="I82" s="7" t="s">
        <v>131</v>
      </c>
      <c r="J82" s="7" t="s">
        <v>131</v>
      </c>
      <c r="K82" s="77" t="s">
        <v>562</v>
      </c>
      <c r="L82" s="44" t="s">
        <v>563</v>
      </c>
      <c r="M82" s="29" t="s">
        <v>439</v>
      </c>
      <c r="N82" s="40">
        <v>43467</v>
      </c>
      <c r="O82" s="85">
        <v>35000</v>
      </c>
      <c r="P82" s="46">
        <v>12472</v>
      </c>
      <c r="Q82" s="40">
        <v>43467</v>
      </c>
      <c r="R82" s="40">
        <v>43830</v>
      </c>
      <c r="S82" s="7">
        <v>117</v>
      </c>
      <c r="T82" s="89" t="s">
        <v>131</v>
      </c>
      <c r="U82" s="7" t="s">
        <v>189</v>
      </c>
      <c r="V82" s="85" t="s">
        <v>131</v>
      </c>
      <c r="W82" s="29" t="s">
        <v>165</v>
      </c>
      <c r="X82" s="7" t="s">
        <v>131</v>
      </c>
      <c r="Y82" s="7">
        <v>3</v>
      </c>
      <c r="Z82" s="40">
        <v>44560</v>
      </c>
      <c r="AA82" s="46">
        <v>13197</v>
      </c>
      <c r="AB82" s="7" t="s">
        <v>113</v>
      </c>
      <c r="AC82" s="40">
        <v>44562</v>
      </c>
      <c r="AD82" s="40">
        <v>44926</v>
      </c>
      <c r="AE82" s="7" t="s">
        <v>131</v>
      </c>
      <c r="AF82" s="7"/>
      <c r="AG82" s="85"/>
      <c r="AH82" s="85"/>
      <c r="AI82" s="7"/>
      <c r="AJ82" s="7"/>
      <c r="AK82" s="85"/>
      <c r="AL82" s="97">
        <f t="shared" si="0"/>
        <v>35000</v>
      </c>
      <c r="AM82" s="92"/>
      <c r="AN82" s="92">
        <f>13128.27+7803.96+11435.16+5754</f>
        <v>38121.39</v>
      </c>
      <c r="AO82" s="82">
        <f t="shared" si="1"/>
        <v>38121.39</v>
      </c>
    </row>
    <row r="83" spans="1:41" s="1" customFormat="1" ht="38.25" x14ac:dyDescent="0.25">
      <c r="A83" s="18" t="s">
        <v>552</v>
      </c>
      <c r="B83" s="31" t="s">
        <v>567</v>
      </c>
      <c r="C83" s="29" t="s">
        <v>565</v>
      </c>
      <c r="D83" s="54" t="s">
        <v>87</v>
      </c>
      <c r="E83" s="54"/>
      <c r="F83" s="31" t="s">
        <v>496</v>
      </c>
      <c r="G83" s="7" t="s">
        <v>131</v>
      </c>
      <c r="H83" s="53" t="s">
        <v>566</v>
      </c>
      <c r="I83" s="7" t="s">
        <v>131</v>
      </c>
      <c r="J83" s="7" t="s">
        <v>131</v>
      </c>
      <c r="K83" s="77" t="s">
        <v>589</v>
      </c>
      <c r="L83" s="44" t="s">
        <v>568</v>
      </c>
      <c r="M83" s="31" t="s">
        <v>590</v>
      </c>
      <c r="N83" s="40">
        <v>44553</v>
      </c>
      <c r="O83" s="85">
        <v>869000</v>
      </c>
      <c r="P83" s="46">
        <v>13196</v>
      </c>
      <c r="Q83" s="40">
        <v>44553</v>
      </c>
      <c r="R83" s="40">
        <v>44918</v>
      </c>
      <c r="S83" s="7" t="s">
        <v>197</v>
      </c>
      <c r="T83" s="89" t="s">
        <v>131</v>
      </c>
      <c r="U83" s="7" t="s">
        <v>189</v>
      </c>
      <c r="V83" s="85" t="s">
        <v>131</v>
      </c>
      <c r="W83" s="29" t="s">
        <v>110</v>
      </c>
      <c r="X83" s="7" t="s">
        <v>131</v>
      </c>
      <c r="Y83" s="7" t="s">
        <v>131</v>
      </c>
      <c r="Z83" s="7" t="s">
        <v>131</v>
      </c>
      <c r="AA83" s="7" t="s">
        <v>131</v>
      </c>
      <c r="AB83" s="7" t="s">
        <v>131</v>
      </c>
      <c r="AC83" s="7" t="s">
        <v>131</v>
      </c>
      <c r="AD83" s="7" t="s">
        <v>131</v>
      </c>
      <c r="AE83" s="7" t="s">
        <v>131</v>
      </c>
      <c r="AF83" s="7"/>
      <c r="AG83" s="85"/>
      <c r="AH83" s="85"/>
      <c r="AI83" s="7"/>
      <c r="AJ83" s="7"/>
      <c r="AK83" s="85"/>
      <c r="AL83" s="97">
        <f t="shared" si="0"/>
        <v>869000</v>
      </c>
      <c r="AM83" s="92"/>
      <c r="AN83" s="92">
        <f>8319.71+10000+15000+7082.34+546.35+4168.75+5284.9+6295.06+10000+1680.29+7917.66+299.87</f>
        <v>76594.929999999993</v>
      </c>
      <c r="AO83" s="82">
        <f t="shared" si="1"/>
        <v>76594.929999999993</v>
      </c>
    </row>
    <row r="84" spans="1:41" s="1" customFormat="1" ht="38.25" x14ac:dyDescent="0.25">
      <c r="A84" s="18" t="s">
        <v>558</v>
      </c>
      <c r="B84" s="31" t="s">
        <v>572</v>
      </c>
      <c r="C84" s="29" t="s">
        <v>477</v>
      </c>
      <c r="D84" s="54" t="s">
        <v>87</v>
      </c>
      <c r="E84" s="54"/>
      <c r="F84" s="31" t="s">
        <v>496</v>
      </c>
      <c r="G84" s="7" t="s">
        <v>131</v>
      </c>
      <c r="H84" s="53" t="s">
        <v>571</v>
      </c>
      <c r="I84" s="7" t="s">
        <v>131</v>
      </c>
      <c r="J84" s="7" t="s">
        <v>131</v>
      </c>
      <c r="K84" s="77" t="s">
        <v>570</v>
      </c>
      <c r="L84" s="44" t="s">
        <v>485</v>
      </c>
      <c r="M84" s="29" t="s">
        <v>486</v>
      </c>
      <c r="N84" s="40">
        <v>44606</v>
      </c>
      <c r="O84" s="85">
        <v>48570</v>
      </c>
      <c r="P84" s="46">
        <v>13229</v>
      </c>
      <c r="Q84" s="40">
        <v>44606</v>
      </c>
      <c r="R84" s="40">
        <v>44926</v>
      </c>
      <c r="S84" s="7" t="s">
        <v>399</v>
      </c>
      <c r="T84" s="89" t="s">
        <v>131</v>
      </c>
      <c r="U84" s="7" t="s">
        <v>189</v>
      </c>
      <c r="V84" s="85" t="s">
        <v>131</v>
      </c>
      <c r="W84" s="29" t="s">
        <v>111</v>
      </c>
      <c r="X84" s="7" t="s">
        <v>131</v>
      </c>
      <c r="Y84" s="7" t="s">
        <v>131</v>
      </c>
      <c r="Z84" s="7" t="s">
        <v>131</v>
      </c>
      <c r="AA84" s="7" t="s">
        <v>131</v>
      </c>
      <c r="AB84" s="7" t="s">
        <v>131</v>
      </c>
      <c r="AC84" s="7" t="s">
        <v>131</v>
      </c>
      <c r="AD84" s="7" t="s">
        <v>131</v>
      </c>
      <c r="AE84" s="7" t="s">
        <v>131</v>
      </c>
      <c r="AF84" s="7"/>
      <c r="AG84" s="85"/>
      <c r="AH84" s="85"/>
      <c r="AI84" s="7"/>
      <c r="AJ84" s="7"/>
      <c r="AK84" s="85"/>
      <c r="AL84" s="97">
        <f t="shared" ref="AL84:AL106" si="2">O84-AH84+AG84+AK84</f>
        <v>48570</v>
      </c>
      <c r="AM84" s="92"/>
      <c r="AN84" s="92">
        <f>6495.4+1500</f>
        <v>7995.4</v>
      </c>
      <c r="AO84" s="82">
        <f t="shared" ref="AO84:AO106" si="3">AM84+AN84</f>
        <v>7995.4</v>
      </c>
    </row>
    <row r="85" spans="1:41" s="1" customFormat="1" ht="38.25" x14ac:dyDescent="0.25">
      <c r="A85" s="18" t="s">
        <v>564</v>
      </c>
      <c r="B85" s="31" t="s">
        <v>577</v>
      </c>
      <c r="C85" s="29" t="s">
        <v>575</v>
      </c>
      <c r="D85" s="54" t="s">
        <v>87</v>
      </c>
      <c r="E85" s="54"/>
      <c r="F85" s="31" t="s">
        <v>496</v>
      </c>
      <c r="G85" s="7" t="s">
        <v>131</v>
      </c>
      <c r="H85" s="53" t="s">
        <v>576</v>
      </c>
      <c r="I85" s="7" t="s">
        <v>131</v>
      </c>
      <c r="J85" s="7" t="s">
        <v>131</v>
      </c>
      <c r="K85" s="77" t="s">
        <v>574</v>
      </c>
      <c r="L85" s="44" t="s">
        <v>485</v>
      </c>
      <c r="M85" s="29" t="s">
        <v>486</v>
      </c>
      <c r="N85" s="40">
        <v>44603</v>
      </c>
      <c r="O85" s="85">
        <v>60877.7</v>
      </c>
      <c r="P85" s="46">
        <v>13229</v>
      </c>
      <c r="Q85" s="40">
        <v>44603</v>
      </c>
      <c r="R85" s="40">
        <v>44926</v>
      </c>
      <c r="S85" s="7" t="s">
        <v>586</v>
      </c>
      <c r="T85" s="89" t="s">
        <v>131</v>
      </c>
      <c r="U85" s="7" t="s">
        <v>189</v>
      </c>
      <c r="V85" s="85" t="s">
        <v>131</v>
      </c>
      <c r="W85" s="29" t="s">
        <v>111</v>
      </c>
      <c r="X85" s="7" t="s">
        <v>131</v>
      </c>
      <c r="Y85" s="7" t="s">
        <v>131</v>
      </c>
      <c r="Z85" s="7" t="s">
        <v>131</v>
      </c>
      <c r="AA85" s="7" t="s">
        <v>131</v>
      </c>
      <c r="AB85" s="7" t="s">
        <v>131</v>
      </c>
      <c r="AC85" s="7" t="s">
        <v>131</v>
      </c>
      <c r="AD85" s="7" t="s">
        <v>131</v>
      </c>
      <c r="AE85" s="7" t="s">
        <v>131</v>
      </c>
      <c r="AF85" s="7"/>
      <c r="AG85" s="85"/>
      <c r="AH85" s="85"/>
      <c r="AI85" s="7"/>
      <c r="AJ85" s="7"/>
      <c r="AK85" s="85"/>
      <c r="AL85" s="97">
        <f t="shared" si="2"/>
        <v>60877.7</v>
      </c>
      <c r="AM85" s="92"/>
      <c r="AN85" s="92">
        <f>11167</f>
        <v>11167</v>
      </c>
      <c r="AO85" s="82">
        <f t="shared" si="3"/>
        <v>11167</v>
      </c>
    </row>
    <row r="86" spans="1:41" s="1" customFormat="1" ht="38.25" x14ac:dyDescent="0.25">
      <c r="A86" s="18" t="s">
        <v>569</v>
      </c>
      <c r="B86" s="31" t="s">
        <v>580</v>
      </c>
      <c r="C86" s="29" t="s">
        <v>582</v>
      </c>
      <c r="D86" s="54" t="s">
        <v>87</v>
      </c>
      <c r="E86" s="54"/>
      <c r="F86" s="31" t="s">
        <v>496</v>
      </c>
      <c r="G86" s="7" t="s">
        <v>131</v>
      </c>
      <c r="H86" s="53" t="s">
        <v>581</v>
      </c>
      <c r="I86" s="7" t="s">
        <v>131</v>
      </c>
      <c r="J86" s="7" t="s">
        <v>131</v>
      </c>
      <c r="K86" s="77" t="s">
        <v>579</v>
      </c>
      <c r="L86" s="44" t="s">
        <v>176</v>
      </c>
      <c r="M86" s="29" t="s">
        <v>215</v>
      </c>
      <c r="N86" s="40">
        <v>44627</v>
      </c>
      <c r="O86" s="85">
        <v>1412720</v>
      </c>
      <c r="P86" s="46">
        <v>13244</v>
      </c>
      <c r="Q86" s="40">
        <v>44627</v>
      </c>
      <c r="R86" s="40">
        <v>44926</v>
      </c>
      <c r="S86" s="7" t="s">
        <v>399</v>
      </c>
      <c r="T86" s="89" t="s">
        <v>131</v>
      </c>
      <c r="U86" s="7" t="s">
        <v>189</v>
      </c>
      <c r="V86" s="85" t="s">
        <v>131</v>
      </c>
      <c r="W86" s="29" t="s">
        <v>111</v>
      </c>
      <c r="X86" s="7" t="s">
        <v>131</v>
      </c>
      <c r="Y86" s="7" t="s">
        <v>131</v>
      </c>
      <c r="Z86" s="7" t="s">
        <v>131</v>
      </c>
      <c r="AA86" s="7" t="s">
        <v>131</v>
      </c>
      <c r="AB86" s="7" t="s">
        <v>131</v>
      </c>
      <c r="AC86" s="7" t="s">
        <v>131</v>
      </c>
      <c r="AD86" s="7" t="s">
        <v>131</v>
      </c>
      <c r="AE86" s="7" t="s">
        <v>131</v>
      </c>
      <c r="AF86" s="7"/>
      <c r="AG86" s="85"/>
      <c r="AH86" s="85"/>
      <c r="AI86" s="7"/>
      <c r="AJ86" s="7"/>
      <c r="AK86" s="85"/>
      <c r="AL86" s="97">
        <f t="shared" si="2"/>
        <v>1412720</v>
      </c>
      <c r="AM86" s="92"/>
      <c r="AN86" s="92">
        <f>11854.65+13243.2+13489.2+11260+6076.6</f>
        <v>55923.65</v>
      </c>
      <c r="AO86" s="82">
        <f t="shared" si="3"/>
        <v>55923.65</v>
      </c>
    </row>
    <row r="87" spans="1:41" s="1" customFormat="1" ht="38.25" x14ac:dyDescent="0.25">
      <c r="A87" s="18" t="s">
        <v>573</v>
      </c>
      <c r="B87" s="31" t="s">
        <v>577</v>
      </c>
      <c r="C87" s="29" t="s">
        <v>575</v>
      </c>
      <c r="D87" s="54" t="s">
        <v>87</v>
      </c>
      <c r="E87" s="54"/>
      <c r="F87" s="31" t="s">
        <v>496</v>
      </c>
      <c r="G87" s="7" t="s">
        <v>131</v>
      </c>
      <c r="H87" s="53" t="s">
        <v>585</v>
      </c>
      <c r="I87" s="7" t="s">
        <v>131</v>
      </c>
      <c r="J87" s="7" t="s">
        <v>131</v>
      </c>
      <c r="K87" s="77" t="s">
        <v>583</v>
      </c>
      <c r="L87" s="44" t="s">
        <v>584</v>
      </c>
      <c r="M87" s="29" t="s">
        <v>587</v>
      </c>
      <c r="N87" s="40">
        <v>44603</v>
      </c>
      <c r="O87" s="85">
        <v>40782.9</v>
      </c>
      <c r="P87" s="46">
        <v>13232</v>
      </c>
      <c r="Q87" s="40">
        <v>44603</v>
      </c>
      <c r="R87" s="40">
        <v>44926</v>
      </c>
      <c r="S87" s="7" t="s">
        <v>399</v>
      </c>
      <c r="T87" s="89" t="s">
        <v>131</v>
      </c>
      <c r="U87" s="7" t="s">
        <v>189</v>
      </c>
      <c r="V87" s="85" t="s">
        <v>131</v>
      </c>
      <c r="W87" s="29" t="s">
        <v>111</v>
      </c>
      <c r="X87" s="7" t="s">
        <v>131</v>
      </c>
      <c r="Y87" s="7" t="s">
        <v>131</v>
      </c>
      <c r="Z87" s="7" t="s">
        <v>131</v>
      </c>
      <c r="AA87" s="7" t="s">
        <v>131</v>
      </c>
      <c r="AB87" s="7" t="s">
        <v>131</v>
      </c>
      <c r="AC87" s="7" t="s">
        <v>131</v>
      </c>
      <c r="AD87" s="7" t="s">
        <v>131</v>
      </c>
      <c r="AE87" s="7" t="s">
        <v>131</v>
      </c>
      <c r="AF87" s="7"/>
      <c r="AG87" s="85"/>
      <c r="AH87" s="85"/>
      <c r="AI87" s="7"/>
      <c r="AJ87" s="7"/>
      <c r="AK87" s="85"/>
      <c r="AL87" s="97">
        <f t="shared" si="2"/>
        <v>40782.9</v>
      </c>
      <c r="AM87" s="92"/>
      <c r="AN87" s="92">
        <f>4794.1</f>
        <v>4794.1000000000004</v>
      </c>
      <c r="AO87" s="82">
        <f t="shared" si="3"/>
        <v>4794.1000000000004</v>
      </c>
    </row>
    <row r="88" spans="1:41" s="1" customFormat="1" ht="38.25" x14ac:dyDescent="0.25">
      <c r="A88" s="18" t="s">
        <v>578</v>
      </c>
      <c r="B88" s="31" t="s">
        <v>594</v>
      </c>
      <c r="C88" s="29" t="s">
        <v>596</v>
      </c>
      <c r="D88" s="54" t="s">
        <v>87</v>
      </c>
      <c r="E88" s="54"/>
      <c r="F88" s="31" t="s">
        <v>496</v>
      </c>
      <c r="G88" s="7" t="s">
        <v>131</v>
      </c>
      <c r="H88" s="53" t="s">
        <v>595</v>
      </c>
      <c r="I88" s="7" t="s">
        <v>131</v>
      </c>
      <c r="J88" s="7" t="s">
        <v>131</v>
      </c>
      <c r="K88" s="77" t="s">
        <v>597</v>
      </c>
      <c r="L88" s="44" t="s">
        <v>598</v>
      </c>
      <c r="M88" s="29" t="s">
        <v>634</v>
      </c>
      <c r="N88" s="40">
        <v>44652</v>
      </c>
      <c r="O88" s="85">
        <v>170184.5</v>
      </c>
      <c r="P88" s="46">
        <v>13260</v>
      </c>
      <c r="Q88" s="40">
        <v>44652</v>
      </c>
      <c r="R88" s="40">
        <v>44926</v>
      </c>
      <c r="S88" s="7" t="s">
        <v>399</v>
      </c>
      <c r="T88" s="89" t="s">
        <v>131</v>
      </c>
      <c r="U88" s="7" t="s">
        <v>189</v>
      </c>
      <c r="V88" s="85" t="s">
        <v>131</v>
      </c>
      <c r="W88" s="29" t="s">
        <v>111</v>
      </c>
      <c r="X88" s="7" t="s">
        <v>131</v>
      </c>
      <c r="Y88" s="7" t="s">
        <v>131</v>
      </c>
      <c r="Z88" s="7" t="s">
        <v>131</v>
      </c>
      <c r="AA88" s="7" t="s">
        <v>131</v>
      </c>
      <c r="AB88" s="7" t="s">
        <v>131</v>
      </c>
      <c r="AC88" s="7" t="s">
        <v>131</v>
      </c>
      <c r="AD88" s="7" t="s">
        <v>131</v>
      </c>
      <c r="AE88" s="7" t="s">
        <v>131</v>
      </c>
      <c r="AF88" s="7"/>
      <c r="AG88" s="85"/>
      <c r="AH88" s="85"/>
      <c r="AI88" s="7"/>
      <c r="AJ88" s="7"/>
      <c r="AK88" s="85"/>
      <c r="AL88" s="97">
        <f t="shared" si="2"/>
        <v>170184.5</v>
      </c>
      <c r="AM88" s="92"/>
      <c r="AN88" s="92">
        <v>6017.5</v>
      </c>
      <c r="AO88" s="82">
        <f t="shared" si="3"/>
        <v>6017.5</v>
      </c>
    </row>
    <row r="89" spans="1:41" s="1" customFormat="1" ht="38.25" x14ac:dyDescent="0.25">
      <c r="A89" s="18" t="s">
        <v>593</v>
      </c>
      <c r="B89" s="31" t="s">
        <v>604</v>
      </c>
      <c r="C89" s="29" t="s">
        <v>575</v>
      </c>
      <c r="D89" s="54" t="s">
        <v>87</v>
      </c>
      <c r="E89" s="54"/>
      <c r="F89" s="31" t="s">
        <v>496</v>
      </c>
      <c r="G89" s="7" t="s">
        <v>131</v>
      </c>
      <c r="H89" s="53" t="s">
        <v>603</v>
      </c>
      <c r="I89" s="7" t="s">
        <v>131</v>
      </c>
      <c r="J89" s="7" t="s">
        <v>131</v>
      </c>
      <c r="K89" s="77" t="s">
        <v>600</v>
      </c>
      <c r="L89" s="44" t="s">
        <v>601</v>
      </c>
      <c r="M89" s="29" t="s">
        <v>602</v>
      </c>
      <c r="N89" s="40">
        <v>44603</v>
      </c>
      <c r="O89" s="85">
        <v>56125.2</v>
      </c>
      <c r="P89" s="46">
        <v>13229</v>
      </c>
      <c r="Q89" s="40">
        <v>44603</v>
      </c>
      <c r="R89" s="40">
        <v>44926</v>
      </c>
      <c r="S89" s="7" t="s">
        <v>399</v>
      </c>
      <c r="T89" s="89" t="s">
        <v>131</v>
      </c>
      <c r="U89" s="7" t="s">
        <v>189</v>
      </c>
      <c r="V89" s="85" t="s">
        <v>131</v>
      </c>
      <c r="W89" s="29" t="s">
        <v>111</v>
      </c>
      <c r="X89" s="7" t="s">
        <v>131</v>
      </c>
      <c r="Y89" s="7" t="s">
        <v>131</v>
      </c>
      <c r="Z89" s="7" t="s">
        <v>131</v>
      </c>
      <c r="AA89" s="7" t="s">
        <v>131</v>
      </c>
      <c r="AB89" s="7" t="s">
        <v>131</v>
      </c>
      <c r="AC89" s="7" t="s">
        <v>131</v>
      </c>
      <c r="AD89" s="7" t="s">
        <v>131</v>
      </c>
      <c r="AE89" s="7" t="s">
        <v>131</v>
      </c>
      <c r="AF89" s="7"/>
      <c r="AG89" s="85"/>
      <c r="AH89" s="85"/>
      <c r="AI89" s="7"/>
      <c r="AJ89" s="7"/>
      <c r="AK89" s="85"/>
      <c r="AL89" s="97">
        <f t="shared" si="2"/>
        <v>56125.2</v>
      </c>
      <c r="AM89" s="92"/>
      <c r="AN89" s="92">
        <v>30935</v>
      </c>
      <c r="AO89" s="82">
        <f t="shared" si="3"/>
        <v>30935</v>
      </c>
    </row>
    <row r="90" spans="1:41" s="1" customFormat="1" ht="38.25" x14ac:dyDescent="0.25">
      <c r="A90" s="19" t="s">
        <v>599</v>
      </c>
      <c r="B90" s="31" t="s">
        <v>515</v>
      </c>
      <c r="C90" s="31" t="s">
        <v>483</v>
      </c>
      <c r="D90" s="54" t="s">
        <v>87</v>
      </c>
      <c r="E90" s="54"/>
      <c r="F90" s="31" t="s">
        <v>496</v>
      </c>
      <c r="G90" s="51" t="s">
        <v>131</v>
      </c>
      <c r="H90" s="53" t="s">
        <v>484</v>
      </c>
      <c r="I90" s="51" t="s">
        <v>131</v>
      </c>
      <c r="J90" s="51" t="s">
        <v>131</v>
      </c>
      <c r="K90" s="77" t="s">
        <v>606</v>
      </c>
      <c r="L90" s="44" t="s">
        <v>607</v>
      </c>
      <c r="M90" s="31" t="s">
        <v>608</v>
      </c>
      <c r="N90" s="39">
        <v>44498</v>
      </c>
      <c r="O90" s="86">
        <v>420</v>
      </c>
      <c r="P90" s="53">
        <v>13176</v>
      </c>
      <c r="Q90" s="39">
        <v>44498</v>
      </c>
      <c r="R90" s="39">
        <v>44561</v>
      </c>
      <c r="S90" s="51" t="s">
        <v>399</v>
      </c>
      <c r="T90" s="89" t="s">
        <v>131</v>
      </c>
      <c r="U90" s="7" t="s">
        <v>189</v>
      </c>
      <c r="V90" s="85" t="s">
        <v>131</v>
      </c>
      <c r="W90" s="29" t="s">
        <v>111</v>
      </c>
      <c r="X90" s="7" t="s">
        <v>131</v>
      </c>
      <c r="Y90" s="7" t="s">
        <v>131</v>
      </c>
      <c r="Z90" s="7" t="s">
        <v>131</v>
      </c>
      <c r="AA90" s="7" t="s">
        <v>131</v>
      </c>
      <c r="AB90" s="7" t="s">
        <v>131</v>
      </c>
      <c r="AC90" s="7" t="s">
        <v>131</v>
      </c>
      <c r="AD90" s="7" t="s">
        <v>131</v>
      </c>
      <c r="AE90" s="7" t="s">
        <v>131</v>
      </c>
      <c r="AF90" s="7"/>
      <c r="AG90" s="85"/>
      <c r="AH90" s="85"/>
      <c r="AI90" s="7"/>
      <c r="AJ90" s="7"/>
      <c r="AK90" s="85"/>
      <c r="AL90" s="97">
        <f t="shared" si="2"/>
        <v>420</v>
      </c>
      <c r="AM90" s="92"/>
      <c r="AN90" s="92">
        <v>420</v>
      </c>
      <c r="AO90" s="82">
        <f t="shared" si="3"/>
        <v>420</v>
      </c>
    </row>
    <row r="91" spans="1:41" s="1" customFormat="1" ht="38.25" x14ac:dyDescent="0.25">
      <c r="A91" s="18" t="s">
        <v>605</v>
      </c>
      <c r="B91" s="31" t="s">
        <v>610</v>
      </c>
      <c r="C91" s="29" t="s">
        <v>611</v>
      </c>
      <c r="D91" s="54" t="s">
        <v>87</v>
      </c>
      <c r="E91" s="54"/>
      <c r="F91" s="31" t="s">
        <v>496</v>
      </c>
      <c r="G91" s="7" t="s">
        <v>131</v>
      </c>
      <c r="H91" s="53" t="s">
        <v>595</v>
      </c>
      <c r="I91" s="7" t="s">
        <v>131</v>
      </c>
      <c r="J91" s="7" t="s">
        <v>131</v>
      </c>
      <c r="K91" s="77" t="s">
        <v>612</v>
      </c>
      <c r="L91" s="44" t="s">
        <v>613</v>
      </c>
      <c r="M91" s="29" t="s">
        <v>635</v>
      </c>
      <c r="N91" s="40">
        <v>44650</v>
      </c>
      <c r="O91" s="85">
        <v>539064.9</v>
      </c>
      <c r="P91" s="46">
        <v>13260</v>
      </c>
      <c r="Q91" s="40">
        <v>44651</v>
      </c>
      <c r="R91" s="40">
        <v>44926</v>
      </c>
      <c r="S91" s="51" t="s">
        <v>399</v>
      </c>
      <c r="T91" s="89" t="s">
        <v>131</v>
      </c>
      <c r="U91" s="7" t="s">
        <v>189</v>
      </c>
      <c r="V91" s="85" t="s">
        <v>131</v>
      </c>
      <c r="W91" s="29" t="s">
        <v>111</v>
      </c>
      <c r="X91" s="7" t="s">
        <v>131</v>
      </c>
      <c r="Y91" s="7" t="s">
        <v>131</v>
      </c>
      <c r="Z91" s="7" t="s">
        <v>131</v>
      </c>
      <c r="AA91" s="7" t="s">
        <v>131</v>
      </c>
      <c r="AB91" s="7" t="s">
        <v>131</v>
      </c>
      <c r="AC91" s="7" t="s">
        <v>131</v>
      </c>
      <c r="AD91" s="7" t="s">
        <v>131</v>
      </c>
      <c r="AE91" s="7" t="s">
        <v>131</v>
      </c>
      <c r="AF91" s="7"/>
      <c r="AG91" s="85"/>
      <c r="AH91" s="85"/>
      <c r="AI91" s="7"/>
      <c r="AJ91" s="7"/>
      <c r="AK91" s="85"/>
      <c r="AL91" s="97">
        <f t="shared" si="2"/>
        <v>539064.9</v>
      </c>
      <c r="AM91" s="92"/>
      <c r="AN91" s="92">
        <f>19915.6+383.2+7083</f>
        <v>27381.8</v>
      </c>
      <c r="AO91" s="82">
        <f t="shared" si="3"/>
        <v>27381.8</v>
      </c>
    </row>
    <row r="92" spans="1:41" s="1" customFormat="1" ht="38.25" x14ac:dyDescent="0.25">
      <c r="A92" s="18" t="s">
        <v>609</v>
      </c>
      <c r="B92" s="31" t="s">
        <v>615</v>
      </c>
      <c r="C92" s="29" t="s">
        <v>611</v>
      </c>
      <c r="D92" s="54" t="s">
        <v>87</v>
      </c>
      <c r="E92" s="54"/>
      <c r="F92" s="31" t="s">
        <v>496</v>
      </c>
      <c r="G92" s="7" t="s">
        <v>131</v>
      </c>
      <c r="H92" s="53" t="s">
        <v>595</v>
      </c>
      <c r="I92" s="7" t="s">
        <v>131</v>
      </c>
      <c r="J92" s="7" t="s">
        <v>131</v>
      </c>
      <c r="K92" s="77" t="s">
        <v>616</v>
      </c>
      <c r="L92" s="44" t="s">
        <v>617</v>
      </c>
      <c r="M92" s="29" t="s">
        <v>215</v>
      </c>
      <c r="N92" s="40">
        <v>44655</v>
      </c>
      <c r="O92" s="85">
        <v>138500</v>
      </c>
      <c r="P92" s="46">
        <v>13260</v>
      </c>
      <c r="Q92" s="40">
        <v>44655</v>
      </c>
      <c r="R92" s="40">
        <v>44926</v>
      </c>
      <c r="S92" s="51" t="s">
        <v>399</v>
      </c>
      <c r="T92" s="89" t="s">
        <v>131</v>
      </c>
      <c r="U92" s="7" t="s">
        <v>189</v>
      </c>
      <c r="V92" s="85" t="s">
        <v>131</v>
      </c>
      <c r="W92" s="29" t="s">
        <v>111</v>
      </c>
      <c r="X92" s="7" t="s">
        <v>131</v>
      </c>
      <c r="Y92" s="7" t="s">
        <v>131</v>
      </c>
      <c r="Z92" s="7" t="s">
        <v>131</v>
      </c>
      <c r="AA92" s="7" t="s">
        <v>131</v>
      </c>
      <c r="AB92" s="7" t="s">
        <v>131</v>
      </c>
      <c r="AC92" s="7" t="s">
        <v>131</v>
      </c>
      <c r="AD92" s="7" t="s">
        <v>131</v>
      </c>
      <c r="AE92" s="7" t="s">
        <v>131</v>
      </c>
      <c r="AF92" s="7"/>
      <c r="AG92" s="85"/>
      <c r="AH92" s="85"/>
      <c r="AI92" s="7"/>
      <c r="AJ92" s="7"/>
      <c r="AK92" s="85"/>
      <c r="AL92" s="97">
        <f t="shared" si="2"/>
        <v>138500</v>
      </c>
      <c r="AM92" s="92"/>
      <c r="AN92" s="92">
        <f>4732.4+11038</f>
        <v>15770.4</v>
      </c>
      <c r="AO92" s="82">
        <f t="shared" si="3"/>
        <v>15770.4</v>
      </c>
    </row>
    <row r="93" spans="1:41" s="1" customFormat="1" ht="38.25" x14ac:dyDescent="0.25">
      <c r="A93" s="18" t="s">
        <v>614</v>
      </c>
      <c r="B93" s="31" t="s">
        <v>619</v>
      </c>
      <c r="C93" s="29" t="s">
        <v>611</v>
      </c>
      <c r="D93" s="54" t="s">
        <v>87</v>
      </c>
      <c r="E93" s="54"/>
      <c r="F93" s="31" t="s">
        <v>496</v>
      </c>
      <c r="G93" s="7" t="s">
        <v>131</v>
      </c>
      <c r="H93" s="53" t="s">
        <v>595</v>
      </c>
      <c r="I93" s="7" t="s">
        <v>131</v>
      </c>
      <c r="J93" s="7" t="s">
        <v>131</v>
      </c>
      <c r="K93" s="77" t="s">
        <v>620</v>
      </c>
      <c r="L93" s="44" t="s">
        <v>403</v>
      </c>
      <c r="M93" s="29" t="s">
        <v>404</v>
      </c>
      <c r="N93" s="40">
        <v>44655</v>
      </c>
      <c r="O93" s="85">
        <v>265028</v>
      </c>
      <c r="P93" s="46">
        <v>13260</v>
      </c>
      <c r="Q93" s="40">
        <v>44655</v>
      </c>
      <c r="R93" s="40">
        <v>44926</v>
      </c>
      <c r="S93" s="51" t="s">
        <v>399</v>
      </c>
      <c r="T93" s="89" t="s">
        <v>131</v>
      </c>
      <c r="U93" s="7" t="s">
        <v>189</v>
      </c>
      <c r="V93" s="85" t="s">
        <v>131</v>
      </c>
      <c r="W93" s="29" t="s">
        <v>111</v>
      </c>
      <c r="X93" s="7" t="s">
        <v>131</v>
      </c>
      <c r="Y93" s="7" t="s">
        <v>131</v>
      </c>
      <c r="Z93" s="7" t="s">
        <v>131</v>
      </c>
      <c r="AA93" s="7" t="s">
        <v>131</v>
      </c>
      <c r="AB93" s="7" t="s">
        <v>131</v>
      </c>
      <c r="AC93" s="7" t="s">
        <v>131</v>
      </c>
      <c r="AD93" s="7" t="s">
        <v>131</v>
      </c>
      <c r="AE93" s="7" t="s">
        <v>131</v>
      </c>
      <c r="AF93" s="7"/>
      <c r="AG93" s="85"/>
      <c r="AH93" s="85"/>
      <c r="AI93" s="7"/>
      <c r="AJ93" s="7"/>
      <c r="AK93" s="85"/>
      <c r="AL93" s="97">
        <f t="shared" si="2"/>
        <v>265028</v>
      </c>
      <c r="AM93" s="92"/>
      <c r="AN93" s="92">
        <f>9647.5+4697.85</f>
        <v>14345.35</v>
      </c>
      <c r="AO93" s="82">
        <f t="shared" si="3"/>
        <v>14345.35</v>
      </c>
    </row>
    <row r="94" spans="1:41" s="1" customFormat="1" ht="38.25" x14ac:dyDescent="0.25">
      <c r="A94" s="18" t="s">
        <v>618</v>
      </c>
      <c r="B94" s="31" t="s">
        <v>623</v>
      </c>
      <c r="C94" s="29" t="s">
        <v>622</v>
      </c>
      <c r="D94" s="54" t="s">
        <v>87</v>
      </c>
      <c r="E94" s="54"/>
      <c r="F94" s="31" t="s">
        <v>496</v>
      </c>
      <c r="G94" s="7" t="s">
        <v>131</v>
      </c>
      <c r="H94" s="53" t="s">
        <v>396</v>
      </c>
      <c r="I94" s="7" t="s">
        <v>131</v>
      </c>
      <c r="J94" s="7" t="s">
        <v>131</v>
      </c>
      <c r="K94" s="77" t="s">
        <v>624</v>
      </c>
      <c r="L94" s="44" t="s">
        <v>625</v>
      </c>
      <c r="M94" s="29" t="s">
        <v>455</v>
      </c>
      <c r="N94" s="40">
        <v>44648</v>
      </c>
      <c r="O94" s="85">
        <v>369000</v>
      </c>
      <c r="P94" s="46">
        <v>13256</v>
      </c>
      <c r="Q94" s="40">
        <v>44648</v>
      </c>
      <c r="R94" s="40">
        <v>44926</v>
      </c>
      <c r="S94" s="7">
        <v>101</v>
      </c>
      <c r="T94" s="89" t="s">
        <v>131</v>
      </c>
      <c r="U94" s="7" t="s">
        <v>189</v>
      </c>
      <c r="V94" s="85" t="s">
        <v>131</v>
      </c>
      <c r="W94" s="29" t="s">
        <v>112</v>
      </c>
      <c r="X94" s="7" t="s">
        <v>131</v>
      </c>
      <c r="Y94" s="7" t="s">
        <v>131</v>
      </c>
      <c r="Z94" s="7" t="s">
        <v>131</v>
      </c>
      <c r="AA94" s="7" t="s">
        <v>131</v>
      </c>
      <c r="AB94" s="7" t="s">
        <v>131</v>
      </c>
      <c r="AC94" s="7" t="s">
        <v>131</v>
      </c>
      <c r="AD94" s="7" t="s">
        <v>131</v>
      </c>
      <c r="AE94" s="7" t="s">
        <v>131</v>
      </c>
      <c r="AF94" s="7"/>
      <c r="AG94" s="85"/>
      <c r="AH94" s="85"/>
      <c r="AI94" s="7"/>
      <c r="AJ94" s="7"/>
      <c r="AK94" s="85"/>
      <c r="AL94" s="97">
        <f t="shared" si="2"/>
        <v>369000</v>
      </c>
      <c r="AM94" s="92"/>
      <c r="AN94" s="92">
        <f>57656.25+46125</f>
        <v>103781.25</v>
      </c>
      <c r="AO94" s="82">
        <f t="shared" si="3"/>
        <v>103781.25</v>
      </c>
    </row>
    <row r="95" spans="1:41" s="1" customFormat="1" ht="38.25" x14ac:dyDescent="0.25">
      <c r="A95" s="18" t="s">
        <v>621</v>
      </c>
      <c r="B95" s="31" t="s">
        <v>615</v>
      </c>
      <c r="C95" s="29" t="s">
        <v>611</v>
      </c>
      <c r="D95" s="54" t="s">
        <v>87</v>
      </c>
      <c r="E95" s="54"/>
      <c r="F95" s="31" t="s">
        <v>496</v>
      </c>
      <c r="G95" s="7" t="s">
        <v>131</v>
      </c>
      <c r="H95" s="53" t="s">
        <v>595</v>
      </c>
      <c r="I95" s="7" t="s">
        <v>131</v>
      </c>
      <c r="J95" s="7" t="s">
        <v>131</v>
      </c>
      <c r="K95" s="77" t="s">
        <v>627</v>
      </c>
      <c r="L95" s="44" t="s">
        <v>628</v>
      </c>
      <c r="M95" s="29" t="s">
        <v>636</v>
      </c>
      <c r="N95" s="40">
        <v>44655</v>
      </c>
      <c r="O95" s="85">
        <v>261965</v>
      </c>
      <c r="P95" s="46">
        <v>13260</v>
      </c>
      <c r="Q95" s="40">
        <v>44655</v>
      </c>
      <c r="R95" s="40">
        <v>44926</v>
      </c>
      <c r="S95" s="51" t="s">
        <v>399</v>
      </c>
      <c r="T95" s="89" t="s">
        <v>131</v>
      </c>
      <c r="U95" s="7" t="s">
        <v>189</v>
      </c>
      <c r="V95" s="85" t="s">
        <v>131</v>
      </c>
      <c r="W95" s="29" t="s">
        <v>111</v>
      </c>
      <c r="X95" s="7" t="s">
        <v>131</v>
      </c>
      <c r="Y95" s="7" t="s">
        <v>131</v>
      </c>
      <c r="Z95" s="7" t="s">
        <v>131</v>
      </c>
      <c r="AA95" s="7" t="s">
        <v>131</v>
      </c>
      <c r="AB95" s="7" t="s">
        <v>131</v>
      </c>
      <c r="AC95" s="7" t="s">
        <v>131</v>
      </c>
      <c r="AD95" s="7" t="s">
        <v>131</v>
      </c>
      <c r="AE95" s="7" t="s">
        <v>131</v>
      </c>
      <c r="AF95" s="7"/>
      <c r="AG95" s="85"/>
      <c r="AH95" s="85"/>
      <c r="AI95" s="7"/>
      <c r="AJ95" s="7"/>
      <c r="AK95" s="85"/>
      <c r="AL95" s="97">
        <f t="shared" si="2"/>
        <v>261965</v>
      </c>
      <c r="AM95" s="92"/>
      <c r="AN95" s="92">
        <v>25850</v>
      </c>
      <c r="AO95" s="82">
        <f t="shared" si="3"/>
        <v>25850</v>
      </c>
    </row>
    <row r="96" spans="1:41" s="1" customFormat="1" ht="38.25" x14ac:dyDescent="0.25">
      <c r="A96" s="18" t="s">
        <v>626</v>
      </c>
      <c r="B96" s="31" t="s">
        <v>633</v>
      </c>
      <c r="C96" s="29" t="s">
        <v>575</v>
      </c>
      <c r="D96" s="54" t="s">
        <v>87</v>
      </c>
      <c r="E96" s="54"/>
      <c r="F96" s="31" t="s">
        <v>496</v>
      </c>
      <c r="G96" s="7" t="s">
        <v>131</v>
      </c>
      <c r="H96" s="53" t="s">
        <v>632</v>
      </c>
      <c r="I96" s="7" t="s">
        <v>131</v>
      </c>
      <c r="J96" s="7" t="s">
        <v>131</v>
      </c>
      <c r="K96" s="77" t="s">
        <v>630</v>
      </c>
      <c r="L96" s="44" t="s">
        <v>631</v>
      </c>
      <c r="M96" s="29" t="s">
        <v>637</v>
      </c>
      <c r="N96" s="40">
        <v>44603</v>
      </c>
      <c r="O96" s="85">
        <v>45082.1</v>
      </c>
      <c r="P96" s="46">
        <v>13235</v>
      </c>
      <c r="Q96" s="40">
        <v>44603</v>
      </c>
      <c r="R96" s="40">
        <v>44926</v>
      </c>
      <c r="S96" s="51" t="s">
        <v>399</v>
      </c>
      <c r="T96" s="89" t="s">
        <v>131</v>
      </c>
      <c r="U96" s="7" t="s">
        <v>189</v>
      </c>
      <c r="V96" s="85" t="s">
        <v>131</v>
      </c>
      <c r="W96" s="29" t="s">
        <v>111</v>
      </c>
      <c r="X96" s="7" t="s">
        <v>131</v>
      </c>
      <c r="Y96" s="7" t="s">
        <v>131</v>
      </c>
      <c r="Z96" s="7" t="s">
        <v>131</v>
      </c>
      <c r="AA96" s="7" t="s">
        <v>131</v>
      </c>
      <c r="AB96" s="7" t="s">
        <v>131</v>
      </c>
      <c r="AC96" s="7" t="s">
        <v>131</v>
      </c>
      <c r="AD96" s="7" t="s">
        <v>131</v>
      </c>
      <c r="AE96" s="7" t="s">
        <v>131</v>
      </c>
      <c r="AF96" s="7"/>
      <c r="AG96" s="85"/>
      <c r="AH96" s="85"/>
      <c r="AI96" s="7"/>
      <c r="AJ96" s="7"/>
      <c r="AK96" s="85"/>
      <c r="AL96" s="97">
        <f t="shared" si="2"/>
        <v>45082.1</v>
      </c>
      <c r="AM96" s="92"/>
      <c r="AN96" s="92">
        <f>12852+2440</f>
        <v>15292</v>
      </c>
      <c r="AO96" s="82">
        <f t="shared" si="3"/>
        <v>15292</v>
      </c>
    </row>
    <row r="97" spans="1:41" s="1" customFormat="1" ht="38.25" x14ac:dyDescent="0.25">
      <c r="A97" s="18" t="s">
        <v>629</v>
      </c>
      <c r="B97" s="31" t="s">
        <v>641</v>
      </c>
      <c r="C97" s="29" t="s">
        <v>640</v>
      </c>
      <c r="D97" s="54" t="s">
        <v>87</v>
      </c>
      <c r="E97" s="54"/>
      <c r="F97" s="31" t="s">
        <v>496</v>
      </c>
      <c r="G97" s="7" t="s">
        <v>131</v>
      </c>
      <c r="H97" s="53" t="s">
        <v>639</v>
      </c>
      <c r="I97" s="7" t="s">
        <v>131</v>
      </c>
      <c r="J97" s="7" t="s">
        <v>131</v>
      </c>
      <c r="K97" s="77" t="s">
        <v>642</v>
      </c>
      <c r="L97" s="44" t="s">
        <v>645</v>
      </c>
      <c r="M97" s="29" t="s">
        <v>643</v>
      </c>
      <c r="N97" s="40">
        <v>44609</v>
      </c>
      <c r="O97" s="85">
        <v>136600</v>
      </c>
      <c r="P97" s="46">
        <v>13232</v>
      </c>
      <c r="Q97" s="40">
        <v>44609</v>
      </c>
      <c r="R97" s="40">
        <v>44926</v>
      </c>
      <c r="S97" s="51" t="s">
        <v>399</v>
      </c>
      <c r="T97" s="89" t="s">
        <v>131</v>
      </c>
      <c r="U97" s="7" t="s">
        <v>189</v>
      </c>
      <c r="V97" s="85" t="s">
        <v>131</v>
      </c>
      <c r="W97" s="29" t="s">
        <v>111</v>
      </c>
      <c r="X97" s="7" t="s">
        <v>131</v>
      </c>
      <c r="Y97" s="7" t="s">
        <v>131</v>
      </c>
      <c r="Z97" s="7" t="s">
        <v>131</v>
      </c>
      <c r="AA97" s="7" t="s">
        <v>131</v>
      </c>
      <c r="AB97" s="7" t="s">
        <v>131</v>
      </c>
      <c r="AC97" s="7" t="s">
        <v>131</v>
      </c>
      <c r="AD97" s="7" t="s">
        <v>131</v>
      </c>
      <c r="AE97" s="7" t="s">
        <v>131</v>
      </c>
      <c r="AF97" s="7"/>
      <c r="AG97" s="85"/>
      <c r="AH97" s="85"/>
      <c r="AI97" s="7"/>
      <c r="AJ97" s="7"/>
      <c r="AK97" s="85"/>
      <c r="AL97" s="97">
        <f t="shared" si="2"/>
        <v>136600</v>
      </c>
      <c r="AM97" s="92"/>
      <c r="AN97" s="92">
        <v>17312.8</v>
      </c>
      <c r="AO97" s="82">
        <f t="shared" si="3"/>
        <v>17312.8</v>
      </c>
    </row>
    <row r="98" spans="1:41" s="1" customFormat="1" ht="38.25" x14ac:dyDescent="0.25">
      <c r="A98" s="19" t="s">
        <v>638</v>
      </c>
      <c r="B98" s="31" t="s">
        <v>646</v>
      </c>
      <c r="C98" s="31" t="s">
        <v>582</v>
      </c>
      <c r="D98" s="54" t="s">
        <v>87</v>
      </c>
      <c r="E98" s="54"/>
      <c r="F98" s="31" t="s">
        <v>496</v>
      </c>
      <c r="G98" s="51" t="s">
        <v>131</v>
      </c>
      <c r="H98" s="53" t="s">
        <v>647</v>
      </c>
      <c r="I98" s="51" t="s">
        <v>131</v>
      </c>
      <c r="J98" s="51" t="s">
        <v>131</v>
      </c>
      <c r="K98" s="77" t="s">
        <v>648</v>
      </c>
      <c r="L98" s="44" t="s">
        <v>300</v>
      </c>
      <c r="M98" s="31" t="s">
        <v>315</v>
      </c>
      <c r="N98" s="39">
        <v>44262</v>
      </c>
      <c r="O98" s="86">
        <v>689400</v>
      </c>
      <c r="P98" s="53">
        <v>13244</v>
      </c>
      <c r="Q98" s="39"/>
      <c r="R98" s="39"/>
      <c r="S98" s="51"/>
      <c r="T98" s="90" t="s">
        <v>131</v>
      </c>
      <c r="U98" s="51" t="s">
        <v>189</v>
      </c>
      <c r="V98" s="93" t="s">
        <v>131</v>
      </c>
      <c r="W98" s="29"/>
      <c r="X98" s="7" t="s">
        <v>131</v>
      </c>
      <c r="Y98" s="7" t="s">
        <v>131</v>
      </c>
      <c r="Z98" s="7" t="s">
        <v>131</v>
      </c>
      <c r="AA98" s="7" t="s">
        <v>131</v>
      </c>
      <c r="AB98" s="7" t="s">
        <v>131</v>
      </c>
      <c r="AC98" s="7" t="s">
        <v>131</v>
      </c>
      <c r="AD98" s="7" t="s">
        <v>131</v>
      </c>
      <c r="AE98" s="7" t="s">
        <v>131</v>
      </c>
      <c r="AF98" s="7"/>
      <c r="AG98" s="85"/>
      <c r="AH98" s="85"/>
      <c r="AI98" s="7"/>
      <c r="AJ98" s="7"/>
      <c r="AK98" s="85"/>
      <c r="AL98" s="97">
        <f t="shared" si="2"/>
        <v>689400</v>
      </c>
      <c r="AM98" s="92"/>
      <c r="AN98" s="92">
        <v>17327.400000000001</v>
      </c>
      <c r="AO98" s="82">
        <f t="shared" si="3"/>
        <v>17327.400000000001</v>
      </c>
    </row>
    <row r="99" spans="1:41" s="1" customFormat="1" ht="38.25" x14ac:dyDescent="0.25">
      <c r="A99" s="18" t="s">
        <v>644</v>
      </c>
      <c r="B99" s="31" t="s">
        <v>651</v>
      </c>
      <c r="C99" s="29" t="s">
        <v>622</v>
      </c>
      <c r="D99" s="54" t="s">
        <v>87</v>
      </c>
      <c r="E99" s="54"/>
      <c r="F99" s="31" t="s">
        <v>496</v>
      </c>
      <c r="G99" s="7" t="s">
        <v>131</v>
      </c>
      <c r="H99" s="53" t="s">
        <v>509</v>
      </c>
      <c r="I99" s="7" t="s">
        <v>131</v>
      </c>
      <c r="J99" s="7" t="s">
        <v>131</v>
      </c>
      <c r="K99" s="77" t="s">
        <v>649</v>
      </c>
      <c r="L99" s="44" t="s">
        <v>650</v>
      </c>
      <c r="M99" s="29" t="s">
        <v>652</v>
      </c>
      <c r="N99" s="40">
        <v>44664</v>
      </c>
      <c r="O99" s="85">
        <v>180000</v>
      </c>
      <c r="P99" s="46">
        <v>13271</v>
      </c>
      <c r="Q99" s="40">
        <v>44664</v>
      </c>
      <c r="R99" s="40">
        <v>44926</v>
      </c>
      <c r="S99" s="51" t="s">
        <v>197</v>
      </c>
      <c r="T99" s="89" t="s">
        <v>131</v>
      </c>
      <c r="U99" s="7" t="s">
        <v>189</v>
      </c>
      <c r="V99" s="85" t="s">
        <v>131</v>
      </c>
      <c r="W99" s="29" t="s">
        <v>110</v>
      </c>
      <c r="X99" s="7" t="s">
        <v>131</v>
      </c>
      <c r="Y99" s="7" t="s">
        <v>131</v>
      </c>
      <c r="Z99" s="7" t="s">
        <v>131</v>
      </c>
      <c r="AA99" s="7" t="s">
        <v>131</v>
      </c>
      <c r="AB99" s="7" t="s">
        <v>131</v>
      </c>
      <c r="AC99" s="7" t="s">
        <v>131</v>
      </c>
      <c r="AD99" s="7" t="s">
        <v>131</v>
      </c>
      <c r="AE99" s="7" t="s">
        <v>131</v>
      </c>
      <c r="AF99" s="7"/>
      <c r="AG99" s="85"/>
      <c r="AH99" s="85"/>
      <c r="AI99" s="7"/>
      <c r="AJ99" s="7"/>
      <c r="AK99" s="85"/>
      <c r="AL99" s="97">
        <f t="shared" si="2"/>
        <v>180000</v>
      </c>
      <c r="AM99" s="92"/>
      <c r="AN99" s="92">
        <f>2000+1000+1000+2000</f>
        <v>6000</v>
      </c>
      <c r="AO99" s="82">
        <f t="shared" si="3"/>
        <v>6000</v>
      </c>
    </row>
    <row r="100" spans="1:41" s="1" customFormat="1" ht="38.25" x14ac:dyDescent="0.25">
      <c r="A100" s="18" t="s">
        <v>653</v>
      </c>
      <c r="B100" s="31" t="s">
        <v>656</v>
      </c>
      <c r="C100" s="29" t="s">
        <v>305</v>
      </c>
      <c r="D100" s="54" t="s">
        <v>87</v>
      </c>
      <c r="E100" s="54"/>
      <c r="F100" s="31" t="s">
        <v>496</v>
      </c>
      <c r="G100" s="7" t="s">
        <v>131</v>
      </c>
      <c r="H100" s="53" t="s">
        <v>655</v>
      </c>
      <c r="I100" s="7" t="s">
        <v>131</v>
      </c>
      <c r="J100" s="7" t="s">
        <v>131</v>
      </c>
      <c r="K100" s="77" t="s">
        <v>657</v>
      </c>
      <c r="L100" s="44" t="s">
        <v>658</v>
      </c>
      <c r="M100" s="29" t="s">
        <v>690</v>
      </c>
      <c r="N100" s="40">
        <v>44637</v>
      </c>
      <c r="O100" s="85">
        <v>11600</v>
      </c>
      <c r="P100" s="46">
        <v>13245</v>
      </c>
      <c r="Q100" s="40">
        <v>44637</v>
      </c>
      <c r="R100" s="40">
        <v>44926</v>
      </c>
      <c r="S100" s="51" t="s">
        <v>399</v>
      </c>
      <c r="T100" s="89" t="s">
        <v>131</v>
      </c>
      <c r="U100" s="7" t="s">
        <v>189</v>
      </c>
      <c r="V100" s="85" t="s">
        <v>131</v>
      </c>
      <c r="W100" s="29" t="s">
        <v>111</v>
      </c>
      <c r="X100" s="7" t="s">
        <v>131</v>
      </c>
      <c r="Y100" s="7" t="s">
        <v>131</v>
      </c>
      <c r="Z100" s="7" t="s">
        <v>131</v>
      </c>
      <c r="AA100" s="7" t="s">
        <v>131</v>
      </c>
      <c r="AB100" s="7" t="s">
        <v>131</v>
      </c>
      <c r="AC100" s="7" t="s">
        <v>131</v>
      </c>
      <c r="AD100" s="7" t="s">
        <v>131</v>
      </c>
      <c r="AE100" s="7" t="s">
        <v>131</v>
      </c>
      <c r="AF100" s="7"/>
      <c r="AG100" s="85"/>
      <c r="AH100" s="85"/>
      <c r="AI100" s="7"/>
      <c r="AJ100" s="7"/>
      <c r="AK100" s="85"/>
      <c r="AL100" s="97">
        <f t="shared" si="2"/>
        <v>11600</v>
      </c>
      <c r="AM100" s="92"/>
      <c r="AN100" s="92">
        <v>48</v>
      </c>
      <c r="AO100" s="82">
        <f t="shared" si="3"/>
        <v>48</v>
      </c>
    </row>
    <row r="101" spans="1:41" s="1" customFormat="1" ht="38.25" x14ac:dyDescent="0.25">
      <c r="A101" s="18" t="s">
        <v>654</v>
      </c>
      <c r="B101" s="31" t="s">
        <v>665</v>
      </c>
      <c r="C101" s="29" t="s">
        <v>664</v>
      </c>
      <c r="D101" s="54" t="s">
        <v>87</v>
      </c>
      <c r="E101" s="54"/>
      <c r="F101" s="31" t="s">
        <v>496</v>
      </c>
      <c r="G101" s="7" t="s">
        <v>131</v>
      </c>
      <c r="H101" s="53" t="s">
        <v>663</v>
      </c>
      <c r="I101" s="7" t="s">
        <v>131</v>
      </c>
      <c r="J101" s="7" t="s">
        <v>131</v>
      </c>
      <c r="K101" s="77" t="s">
        <v>660</v>
      </c>
      <c r="L101" s="44" t="s">
        <v>661</v>
      </c>
      <c r="M101" s="29" t="s">
        <v>662</v>
      </c>
      <c r="N101" s="40">
        <v>44656</v>
      </c>
      <c r="O101" s="85">
        <v>124990</v>
      </c>
      <c r="P101" s="46">
        <v>13274</v>
      </c>
      <c r="Q101" s="40">
        <v>44656</v>
      </c>
      <c r="R101" s="40">
        <v>44926</v>
      </c>
      <c r="S101" s="51" t="s">
        <v>399</v>
      </c>
      <c r="T101" s="89" t="s">
        <v>131</v>
      </c>
      <c r="U101" s="7" t="s">
        <v>189</v>
      </c>
      <c r="V101" s="85" t="s">
        <v>131</v>
      </c>
      <c r="W101" s="29" t="s">
        <v>111</v>
      </c>
      <c r="X101" s="7" t="s">
        <v>131</v>
      </c>
      <c r="Y101" s="7" t="s">
        <v>131</v>
      </c>
      <c r="Z101" s="7" t="s">
        <v>131</v>
      </c>
      <c r="AA101" s="7" t="s">
        <v>131</v>
      </c>
      <c r="AB101" s="7" t="s">
        <v>131</v>
      </c>
      <c r="AC101" s="7" t="s">
        <v>131</v>
      </c>
      <c r="AD101" s="7" t="s">
        <v>131</v>
      </c>
      <c r="AE101" s="7" t="s">
        <v>131</v>
      </c>
      <c r="AF101" s="7"/>
      <c r="AG101" s="85"/>
      <c r="AH101" s="85"/>
      <c r="AI101" s="7"/>
      <c r="AJ101" s="7"/>
      <c r="AK101" s="85"/>
      <c r="AL101" s="97">
        <f t="shared" si="2"/>
        <v>124990</v>
      </c>
      <c r="AM101" s="92"/>
      <c r="AN101" s="92">
        <v>624.95000000000005</v>
      </c>
      <c r="AO101" s="82">
        <f t="shared" si="3"/>
        <v>624.95000000000005</v>
      </c>
    </row>
    <row r="102" spans="1:41" s="1" customFormat="1" ht="38.25" x14ac:dyDescent="0.25">
      <c r="A102" s="18" t="s">
        <v>659</v>
      </c>
      <c r="B102" s="31" t="s">
        <v>667</v>
      </c>
      <c r="C102" s="29" t="s">
        <v>668</v>
      </c>
      <c r="D102" s="54" t="s">
        <v>87</v>
      </c>
      <c r="E102" s="54"/>
      <c r="F102" s="31" t="s">
        <v>496</v>
      </c>
      <c r="G102" s="7" t="s">
        <v>131</v>
      </c>
      <c r="H102" s="53" t="s">
        <v>669</v>
      </c>
      <c r="I102" s="7" t="s">
        <v>131</v>
      </c>
      <c r="J102" s="7" t="s">
        <v>131</v>
      </c>
      <c r="K102" s="77" t="s">
        <v>670</v>
      </c>
      <c r="L102" s="44" t="s">
        <v>671</v>
      </c>
      <c r="M102" s="29" t="s">
        <v>672</v>
      </c>
      <c r="N102" s="40" t="s">
        <v>691</v>
      </c>
      <c r="O102" s="85">
        <v>69057</v>
      </c>
      <c r="P102" s="46">
        <v>13274</v>
      </c>
      <c r="Q102" s="40">
        <v>44676</v>
      </c>
      <c r="R102" s="40">
        <v>44926</v>
      </c>
      <c r="S102" s="51" t="s">
        <v>399</v>
      </c>
      <c r="T102" s="89" t="s">
        <v>131</v>
      </c>
      <c r="U102" s="7" t="s">
        <v>189</v>
      </c>
      <c r="V102" s="85" t="s">
        <v>131</v>
      </c>
      <c r="W102" s="29" t="s">
        <v>111</v>
      </c>
      <c r="X102" s="7" t="s">
        <v>131</v>
      </c>
      <c r="Y102" s="7" t="s">
        <v>131</v>
      </c>
      <c r="Z102" s="7" t="s">
        <v>131</v>
      </c>
      <c r="AA102" s="7" t="s">
        <v>131</v>
      </c>
      <c r="AB102" s="7" t="s">
        <v>131</v>
      </c>
      <c r="AC102" s="7" t="s">
        <v>131</v>
      </c>
      <c r="AD102" s="7" t="s">
        <v>131</v>
      </c>
      <c r="AE102" s="7" t="s">
        <v>131</v>
      </c>
      <c r="AF102" s="7"/>
      <c r="AG102" s="85"/>
      <c r="AH102" s="85"/>
      <c r="AI102" s="7"/>
      <c r="AJ102" s="7"/>
      <c r="AK102" s="85"/>
      <c r="AL102" s="97">
        <f t="shared" si="2"/>
        <v>69057</v>
      </c>
      <c r="AM102" s="92"/>
      <c r="AN102" s="92">
        <v>1430</v>
      </c>
      <c r="AO102" s="82">
        <f t="shared" si="3"/>
        <v>1430</v>
      </c>
    </row>
    <row r="103" spans="1:41" s="1" customFormat="1" ht="38.25" x14ac:dyDescent="0.25">
      <c r="A103" s="18" t="s">
        <v>666</v>
      </c>
      <c r="B103" s="31" t="s">
        <v>674</v>
      </c>
      <c r="C103" s="29" t="s">
        <v>675</v>
      </c>
      <c r="D103" s="54" t="s">
        <v>87</v>
      </c>
      <c r="E103" s="54"/>
      <c r="F103" s="31" t="s">
        <v>496</v>
      </c>
      <c r="G103" s="7" t="s">
        <v>131</v>
      </c>
      <c r="H103" s="53" t="s">
        <v>676</v>
      </c>
      <c r="I103" s="7" t="s">
        <v>131</v>
      </c>
      <c r="J103" s="7" t="s">
        <v>131</v>
      </c>
      <c r="K103" s="77" t="s">
        <v>677</v>
      </c>
      <c r="L103" s="44" t="s">
        <v>678</v>
      </c>
      <c r="M103" s="29" t="s">
        <v>679</v>
      </c>
      <c r="N103" s="40">
        <v>44627</v>
      </c>
      <c r="O103" s="85">
        <v>33309</v>
      </c>
      <c r="P103" s="46">
        <v>13247</v>
      </c>
      <c r="Q103" s="40">
        <v>44627</v>
      </c>
      <c r="R103" s="40">
        <v>44926</v>
      </c>
      <c r="S103" s="51" t="s">
        <v>399</v>
      </c>
      <c r="T103" s="89" t="s">
        <v>131</v>
      </c>
      <c r="U103" s="7" t="s">
        <v>189</v>
      </c>
      <c r="V103" s="85" t="s">
        <v>131</v>
      </c>
      <c r="W103" s="29" t="s">
        <v>111</v>
      </c>
      <c r="X103" s="7" t="s">
        <v>131</v>
      </c>
      <c r="Y103" s="7" t="s">
        <v>131</v>
      </c>
      <c r="Z103" s="7" t="s">
        <v>131</v>
      </c>
      <c r="AA103" s="7" t="s">
        <v>131</v>
      </c>
      <c r="AB103" s="7" t="s">
        <v>131</v>
      </c>
      <c r="AC103" s="7" t="s">
        <v>131</v>
      </c>
      <c r="AD103" s="7" t="s">
        <v>131</v>
      </c>
      <c r="AE103" s="7" t="s">
        <v>131</v>
      </c>
      <c r="AF103" s="7"/>
      <c r="AG103" s="85"/>
      <c r="AH103" s="85"/>
      <c r="AI103" s="7"/>
      <c r="AJ103" s="7"/>
      <c r="AK103" s="85"/>
      <c r="AL103" s="97">
        <f t="shared" si="2"/>
        <v>33309</v>
      </c>
      <c r="AM103" s="92"/>
      <c r="AN103" s="92">
        <f>2880</f>
        <v>2880</v>
      </c>
      <c r="AO103" s="82">
        <f t="shared" si="3"/>
        <v>2880</v>
      </c>
    </row>
    <row r="104" spans="1:41" s="1" customFormat="1" ht="38.25" x14ac:dyDescent="0.25">
      <c r="A104" s="18" t="s">
        <v>673</v>
      </c>
      <c r="B104" s="31" t="s">
        <v>656</v>
      </c>
      <c r="C104" s="29" t="s">
        <v>305</v>
      </c>
      <c r="D104" s="54" t="s">
        <v>87</v>
      </c>
      <c r="E104" s="54"/>
      <c r="F104" s="31" t="s">
        <v>496</v>
      </c>
      <c r="G104" s="7" t="s">
        <v>131</v>
      </c>
      <c r="H104" s="53" t="s">
        <v>655</v>
      </c>
      <c r="I104" s="7" t="s">
        <v>131</v>
      </c>
      <c r="J104" s="7" t="s">
        <v>131</v>
      </c>
      <c r="K104" s="77" t="s">
        <v>681</v>
      </c>
      <c r="L104" s="44" t="s">
        <v>313</v>
      </c>
      <c r="M104" s="29" t="s">
        <v>682</v>
      </c>
      <c r="N104" s="40">
        <v>44722</v>
      </c>
      <c r="O104" s="85">
        <v>36408</v>
      </c>
      <c r="P104" s="46">
        <v>13306</v>
      </c>
      <c r="Q104" s="40">
        <v>44722</v>
      </c>
      <c r="R104" s="40">
        <v>45086</v>
      </c>
      <c r="S104" s="51" t="s">
        <v>197</v>
      </c>
      <c r="T104" s="89" t="s">
        <v>131</v>
      </c>
      <c r="U104" s="7" t="s">
        <v>189</v>
      </c>
      <c r="V104" s="85" t="s">
        <v>131</v>
      </c>
      <c r="W104" s="29" t="s">
        <v>110</v>
      </c>
      <c r="X104" s="7" t="s">
        <v>131</v>
      </c>
      <c r="Y104" s="7" t="s">
        <v>131</v>
      </c>
      <c r="Z104" s="7" t="s">
        <v>131</v>
      </c>
      <c r="AA104" s="7" t="s">
        <v>131</v>
      </c>
      <c r="AB104" s="7" t="s">
        <v>131</v>
      </c>
      <c r="AC104" s="7" t="s">
        <v>131</v>
      </c>
      <c r="AD104" s="7" t="s">
        <v>131</v>
      </c>
      <c r="AE104" s="7" t="s">
        <v>131</v>
      </c>
      <c r="AF104" s="7"/>
      <c r="AG104" s="85"/>
      <c r="AH104" s="85"/>
      <c r="AI104" s="7"/>
      <c r="AJ104" s="7"/>
      <c r="AK104" s="85"/>
      <c r="AL104" s="97">
        <f t="shared" si="2"/>
        <v>36408</v>
      </c>
      <c r="AM104" s="92"/>
      <c r="AN104" s="92">
        <v>2123.8000000000002</v>
      </c>
      <c r="AO104" s="82">
        <f t="shared" si="3"/>
        <v>2123.8000000000002</v>
      </c>
    </row>
    <row r="105" spans="1:41" s="1" customFormat="1" ht="38.25" x14ac:dyDescent="0.25">
      <c r="A105" s="18" t="s">
        <v>680</v>
      </c>
      <c r="B105" s="31" t="s">
        <v>687</v>
      </c>
      <c r="C105" s="29" t="s">
        <v>688</v>
      </c>
      <c r="D105" s="54" t="s">
        <v>87</v>
      </c>
      <c r="E105" s="54"/>
      <c r="F105" s="31" t="s">
        <v>496</v>
      </c>
      <c r="G105" s="7" t="s">
        <v>131</v>
      </c>
      <c r="H105" s="53" t="s">
        <v>689</v>
      </c>
      <c r="I105" s="7" t="s">
        <v>131</v>
      </c>
      <c r="J105" s="7" t="s">
        <v>131</v>
      </c>
      <c r="K105" s="77" t="s">
        <v>684</v>
      </c>
      <c r="L105" s="44" t="s">
        <v>685</v>
      </c>
      <c r="M105" s="29" t="s">
        <v>686</v>
      </c>
      <c r="N105" s="40">
        <v>44167</v>
      </c>
      <c r="O105" s="85">
        <v>39200</v>
      </c>
      <c r="P105" s="46">
        <v>12944</v>
      </c>
      <c r="Q105" s="40">
        <v>44167</v>
      </c>
      <c r="R105" s="40">
        <v>44531</v>
      </c>
      <c r="S105" s="51">
        <v>117</v>
      </c>
      <c r="T105" s="89" t="s">
        <v>131</v>
      </c>
      <c r="U105" s="7" t="s">
        <v>189</v>
      </c>
      <c r="V105" s="85" t="s">
        <v>131</v>
      </c>
      <c r="W105" s="29" t="s">
        <v>692</v>
      </c>
      <c r="X105" s="7" t="s">
        <v>131</v>
      </c>
      <c r="Y105" s="7">
        <v>1</v>
      </c>
      <c r="Z105" s="40">
        <v>44530</v>
      </c>
      <c r="AA105" s="46">
        <v>13178</v>
      </c>
      <c r="AB105" s="7" t="s">
        <v>113</v>
      </c>
      <c r="AC105" s="7" t="s">
        <v>693</v>
      </c>
      <c r="AD105" s="40">
        <v>44896</v>
      </c>
      <c r="AE105" s="7" t="s">
        <v>131</v>
      </c>
      <c r="AF105" s="7"/>
      <c r="AG105" s="85"/>
      <c r="AH105" s="85"/>
      <c r="AI105" s="7"/>
      <c r="AJ105" s="7"/>
      <c r="AK105" s="85"/>
      <c r="AL105" s="97">
        <f t="shared" si="2"/>
        <v>39200</v>
      </c>
      <c r="AM105" s="92"/>
      <c r="AN105" s="92">
        <f>240+160</f>
        <v>400</v>
      </c>
      <c r="AO105" s="82">
        <f t="shared" si="3"/>
        <v>400</v>
      </c>
    </row>
    <row r="106" spans="1:41" s="1" customFormat="1" ht="26.25" thickBot="1" x14ac:dyDescent="0.3">
      <c r="A106" s="98" t="s">
        <v>683</v>
      </c>
      <c r="B106" s="99"/>
      <c r="C106" s="99"/>
      <c r="D106" s="100"/>
      <c r="E106" s="100"/>
      <c r="F106" s="99"/>
      <c r="G106" s="101"/>
      <c r="H106" s="102"/>
      <c r="I106" s="103"/>
      <c r="J106" s="103"/>
      <c r="K106" s="104"/>
      <c r="L106" s="105" t="s">
        <v>276</v>
      </c>
      <c r="M106" s="99"/>
      <c r="N106" s="103"/>
      <c r="O106" s="106"/>
      <c r="P106" s="102"/>
      <c r="Q106" s="103"/>
      <c r="R106" s="103"/>
      <c r="S106" s="100"/>
      <c r="T106" s="107"/>
      <c r="U106" s="108"/>
      <c r="V106" s="106"/>
      <c r="W106" s="108"/>
      <c r="X106" s="108"/>
      <c r="Y106" s="108"/>
      <c r="Z106" s="108"/>
      <c r="AA106" s="108"/>
      <c r="AB106" s="108"/>
      <c r="AC106" s="109"/>
      <c r="AD106" s="109"/>
      <c r="AE106" s="108"/>
      <c r="AF106" s="108"/>
      <c r="AG106" s="106"/>
      <c r="AH106" s="106"/>
      <c r="AI106" s="108"/>
      <c r="AJ106" s="108"/>
      <c r="AK106" s="106"/>
      <c r="AL106" s="110">
        <f t="shared" si="2"/>
        <v>0</v>
      </c>
      <c r="AM106" s="111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106" s="111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+5000+2757.72+2757.72+2757.72+85233.92+1964.52+2900+15012.4+11300+99.66+49.88+32.26</f>
        <v>1183938.0999999994</v>
      </c>
      <c r="AO106" s="112">
        <f t="shared" si="3"/>
        <v>4495147.9899999984</v>
      </c>
    </row>
    <row r="107" spans="1:41" ht="15.75" customHeight="1" thickBot="1" x14ac:dyDescent="0.3">
      <c r="A107" s="146" t="s">
        <v>701</v>
      </c>
      <c r="B107" s="147"/>
      <c r="C107" s="147"/>
      <c r="D107" s="147"/>
      <c r="E107" s="147"/>
      <c r="F107" s="148"/>
      <c r="G107" s="113"/>
      <c r="H107" s="113"/>
      <c r="I107" s="113"/>
      <c r="J107" s="113"/>
      <c r="K107" s="113"/>
      <c r="L107" s="114"/>
      <c r="M107" s="113"/>
      <c r="N107" s="113"/>
      <c r="O107" s="115">
        <f>SUM(O19:O106)</f>
        <v>27789736.139999993</v>
      </c>
      <c r="P107" s="116"/>
      <c r="Q107" s="116"/>
      <c r="R107" s="116"/>
      <c r="S107" s="116"/>
      <c r="T107" s="113"/>
      <c r="U107" s="116"/>
      <c r="V107" s="115"/>
      <c r="W107" s="116"/>
      <c r="X107" s="116"/>
      <c r="Y107" s="116"/>
      <c r="Z107" s="117"/>
      <c r="AA107" s="116"/>
      <c r="AB107" s="116"/>
      <c r="AC107" s="118"/>
      <c r="AD107" s="118"/>
      <c r="AE107" s="116"/>
      <c r="AF107" s="116"/>
      <c r="AG107" s="115">
        <f>SUM(AG19:AG106)</f>
        <v>149.78</v>
      </c>
      <c r="AH107" s="115">
        <f>SUM(AH19:AH106)</f>
        <v>0</v>
      </c>
      <c r="AI107" s="119"/>
      <c r="AJ107" s="119"/>
      <c r="AK107" s="115"/>
      <c r="AL107" s="115">
        <f>SUM(AL19:AL106)</f>
        <v>27789885.919999994</v>
      </c>
      <c r="AM107" s="115">
        <f>SUM(AM19:AM106)</f>
        <v>12353356.969999999</v>
      </c>
      <c r="AN107" s="115">
        <f>SUM(AN19:AN106)</f>
        <v>7259277.3500000006</v>
      </c>
      <c r="AO107" s="120">
        <f>AN107+AM107</f>
        <v>19612634.32</v>
      </c>
    </row>
    <row r="108" spans="1:41" x14ac:dyDescent="0.25">
      <c r="A108" s="131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"/>
      <c r="M108" s="132"/>
      <c r="N108" s="132"/>
      <c r="O108" s="133"/>
      <c r="P108" s="134"/>
      <c r="Q108" s="134"/>
      <c r="R108" s="134"/>
      <c r="S108" s="134"/>
      <c r="T108" s="132"/>
      <c r="U108" s="134"/>
      <c r="V108" s="133"/>
      <c r="W108" s="134"/>
      <c r="X108" s="134"/>
      <c r="Y108" s="134"/>
      <c r="Z108" s="135"/>
      <c r="AA108" s="134"/>
      <c r="AB108" s="134"/>
      <c r="AC108" s="136"/>
      <c r="AD108" s="136"/>
      <c r="AE108" s="134"/>
      <c r="AF108" s="134"/>
      <c r="AG108" s="133"/>
      <c r="AH108" s="133"/>
      <c r="AI108" s="137"/>
      <c r="AJ108" s="137"/>
      <c r="AK108" s="133"/>
      <c r="AL108" s="133"/>
      <c r="AM108" s="133"/>
      <c r="AN108" s="133"/>
      <c r="AO108" s="133"/>
    </row>
    <row r="109" spans="1:41" s="140" customFormat="1" ht="15" x14ac:dyDescent="0.25">
      <c r="A109" s="138" t="s">
        <v>694</v>
      </c>
      <c r="B109" s="138"/>
      <c r="C109" s="60"/>
      <c r="D109" s="60"/>
      <c r="E109" s="60"/>
      <c r="F109" s="60"/>
      <c r="G109" s="60"/>
      <c r="H109" s="60"/>
      <c r="I109" s="60"/>
      <c r="J109" s="60"/>
      <c r="K109" s="71"/>
      <c r="L109" s="139"/>
      <c r="M109" s="60"/>
      <c r="N109" s="60"/>
      <c r="O109" s="79"/>
      <c r="P109" s="60"/>
      <c r="Q109" s="60"/>
      <c r="R109" s="60"/>
      <c r="S109" s="60"/>
      <c r="T109" s="59"/>
      <c r="U109" s="60"/>
      <c r="V109" s="79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79"/>
      <c r="AH109" s="79"/>
      <c r="AI109" s="60"/>
      <c r="AK109" s="141"/>
      <c r="AL109" s="141"/>
      <c r="AM109" s="142"/>
      <c r="AN109" s="141"/>
      <c r="AO109" s="141"/>
    </row>
    <row r="110" spans="1:41" s="140" customFormat="1" ht="15" x14ac:dyDescent="0.25">
      <c r="A110" s="143" t="s">
        <v>699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70"/>
      <c r="L110" s="139"/>
      <c r="M110" s="144"/>
      <c r="O110" s="141"/>
      <c r="T110" s="139"/>
      <c r="V110" s="141"/>
      <c r="AG110" s="141"/>
      <c r="AH110" s="141"/>
      <c r="AK110" s="141"/>
      <c r="AL110" s="141"/>
      <c r="AM110" s="141"/>
      <c r="AN110" s="141"/>
      <c r="AO110" s="141"/>
    </row>
    <row r="111" spans="1:41" s="140" customFormat="1" ht="15" x14ac:dyDescent="0.25">
      <c r="A111" s="140" t="s">
        <v>700</v>
      </c>
      <c r="K111" s="70"/>
      <c r="L111" s="139"/>
      <c r="M111" s="144"/>
      <c r="O111" s="141"/>
      <c r="P111" s="145"/>
      <c r="Q111" s="145"/>
      <c r="R111" s="145"/>
      <c r="T111" s="139"/>
      <c r="V111" s="141"/>
      <c r="AG111" s="141"/>
      <c r="AH111" s="141"/>
      <c r="AK111" s="141"/>
      <c r="AL111" s="141"/>
      <c r="AM111" s="141"/>
      <c r="AN111" s="141"/>
      <c r="AO111" s="141"/>
    </row>
    <row r="112" spans="1:41" x14ac:dyDescent="0.25">
      <c r="B112" s="125"/>
      <c r="C112" s="125"/>
      <c r="G112" s="1"/>
      <c r="H112" s="1"/>
      <c r="I112" s="1"/>
      <c r="J112" s="1"/>
    </row>
    <row r="113" spans="2:13" x14ac:dyDescent="0.25">
      <c r="B113" s="4"/>
      <c r="C113" s="1"/>
      <c r="D113" s="1"/>
      <c r="E113" s="1"/>
      <c r="F113" s="1"/>
      <c r="G113" s="1"/>
      <c r="H113" s="1"/>
      <c r="I113" s="1"/>
      <c r="J113" s="1"/>
      <c r="M113" s="5"/>
    </row>
    <row r="114" spans="2:13" x14ac:dyDescent="0.25">
      <c r="B114" s="4"/>
      <c r="C114" s="1"/>
      <c r="D114" s="1"/>
      <c r="E114" s="1"/>
      <c r="F114" s="1"/>
      <c r="G114" s="1"/>
      <c r="H114" s="1"/>
      <c r="I114" s="1"/>
      <c r="J114" s="1"/>
      <c r="M114" s="5"/>
    </row>
    <row r="115" spans="2:13" x14ac:dyDescent="0.25">
      <c r="B115" s="4"/>
      <c r="C115" s="128"/>
      <c r="D115" s="128"/>
      <c r="E115" s="128"/>
      <c r="F115" s="128"/>
      <c r="G115" s="8"/>
      <c r="H115" s="8"/>
      <c r="I115" s="8"/>
      <c r="J115" s="8"/>
      <c r="M115" s="5"/>
    </row>
    <row r="116" spans="2:13" x14ac:dyDescent="0.25">
      <c r="B116" s="4"/>
      <c r="C116" s="128"/>
      <c r="D116" s="128"/>
      <c r="E116" s="128"/>
      <c r="F116" s="128"/>
      <c r="G116" s="1"/>
      <c r="H116" s="1"/>
      <c r="I116" s="1"/>
      <c r="J116" s="1"/>
      <c r="M116" s="5"/>
    </row>
    <row r="117" spans="2:13" x14ac:dyDescent="0.25">
      <c r="B117" s="4"/>
      <c r="C117" s="128"/>
      <c r="D117" s="128"/>
      <c r="E117" s="128"/>
      <c r="F117" s="128"/>
      <c r="G117" s="1"/>
      <c r="H117" s="1"/>
      <c r="I117" s="1"/>
      <c r="J117" s="1"/>
      <c r="M117" s="5"/>
    </row>
    <row r="118" spans="2:13" x14ac:dyDescent="0.25">
      <c r="B118" s="4"/>
      <c r="C118" s="1"/>
      <c r="D118" s="1"/>
      <c r="E118" s="1"/>
      <c r="F118" s="1"/>
      <c r="G118" s="9"/>
      <c r="H118" s="9"/>
      <c r="I118" s="9"/>
      <c r="J118" s="9"/>
      <c r="M118" s="5"/>
    </row>
    <row r="119" spans="2:13" x14ac:dyDescent="0.25">
      <c r="B119" s="4"/>
      <c r="C119" s="8"/>
      <c r="D119" s="8"/>
      <c r="E119" s="8"/>
      <c r="F119" s="8"/>
      <c r="G119" s="1"/>
      <c r="H119" s="1"/>
      <c r="I119" s="1"/>
      <c r="J119" s="1"/>
      <c r="M119" s="5"/>
    </row>
    <row r="120" spans="2:13" x14ac:dyDescent="0.25">
      <c r="B120" s="4"/>
      <c r="C120" s="1"/>
      <c r="D120" s="1"/>
      <c r="E120" s="1"/>
      <c r="F120" s="1"/>
      <c r="G120" s="1"/>
      <c r="H120" s="1"/>
      <c r="I120" s="1"/>
      <c r="J120" s="1"/>
      <c r="M120" s="5"/>
    </row>
    <row r="121" spans="2:13" x14ac:dyDescent="0.25">
      <c r="B121" s="4"/>
      <c r="C121" s="1"/>
      <c r="D121" s="1"/>
      <c r="E121" s="1"/>
      <c r="F121" s="1"/>
      <c r="G121" s="1"/>
      <c r="H121" s="1"/>
      <c r="I121" s="1"/>
      <c r="J121" s="1"/>
      <c r="M121" s="5"/>
    </row>
    <row r="122" spans="2:13" x14ac:dyDescent="0.25">
      <c r="B122" s="10"/>
      <c r="C122" s="9"/>
      <c r="D122" s="9"/>
      <c r="E122" s="9"/>
      <c r="F122" s="9"/>
      <c r="G122" s="1"/>
      <c r="H122" s="1"/>
      <c r="I122" s="1"/>
      <c r="J122" s="1"/>
      <c r="M122" s="5"/>
    </row>
    <row r="123" spans="2:13" x14ac:dyDescent="0.25">
      <c r="B123" s="4"/>
      <c r="C123" s="1"/>
      <c r="D123" s="1"/>
      <c r="E123" s="1"/>
      <c r="F123" s="1"/>
      <c r="G123" s="1"/>
      <c r="H123" s="1"/>
      <c r="I123" s="1"/>
      <c r="J123" s="1"/>
      <c r="M123" s="5"/>
    </row>
    <row r="124" spans="2:13" x14ac:dyDescent="0.25">
      <c r="B124" s="4"/>
      <c r="C124" s="128"/>
      <c r="D124" s="128"/>
      <c r="E124" s="128"/>
      <c r="F124" s="128"/>
      <c r="G124" s="1"/>
      <c r="H124" s="1"/>
      <c r="I124" s="1"/>
      <c r="J124" s="1"/>
      <c r="M124" s="5"/>
    </row>
    <row r="125" spans="2:13" x14ac:dyDescent="0.25">
      <c r="B125" s="4"/>
      <c r="C125" s="128"/>
      <c r="D125" s="128"/>
      <c r="E125" s="128"/>
      <c r="F125" s="128"/>
      <c r="G125" s="9"/>
      <c r="H125" s="9"/>
      <c r="I125" s="9"/>
      <c r="J125" s="9"/>
      <c r="M125" s="5"/>
    </row>
    <row r="126" spans="2:13" x14ac:dyDescent="0.25">
      <c r="B126" s="4"/>
      <c r="C126" s="1"/>
      <c r="D126" s="1"/>
      <c r="E126" s="1"/>
      <c r="F126" s="1"/>
      <c r="G126" s="1"/>
      <c r="H126" s="1"/>
      <c r="I126" s="1"/>
      <c r="J126" s="1"/>
      <c r="M126" s="5"/>
    </row>
    <row r="127" spans="2:13" x14ac:dyDescent="0.25">
      <c r="B127" s="4"/>
      <c r="C127" s="1"/>
      <c r="D127" s="1"/>
      <c r="E127" s="1"/>
      <c r="F127" s="1"/>
      <c r="G127" s="1"/>
      <c r="H127" s="1"/>
      <c r="I127" s="1"/>
      <c r="J127" s="1"/>
      <c r="M127" s="5"/>
    </row>
    <row r="128" spans="2:13" x14ac:dyDescent="0.25">
      <c r="B128" s="4"/>
      <c r="C128" s="1"/>
      <c r="D128" s="1"/>
      <c r="E128" s="1"/>
      <c r="F128" s="1"/>
      <c r="G128" s="1"/>
      <c r="H128" s="1"/>
      <c r="I128" s="1"/>
      <c r="J128" s="1"/>
      <c r="M128" s="5"/>
    </row>
    <row r="129" spans="2:13" x14ac:dyDescent="0.25">
      <c r="B129" s="10"/>
      <c r="C129" s="9"/>
      <c r="D129" s="9"/>
      <c r="E129" s="9"/>
      <c r="F129" s="9"/>
      <c r="G129" s="1"/>
      <c r="H129" s="1"/>
      <c r="I129" s="1"/>
      <c r="J129" s="1"/>
      <c r="M129" s="5"/>
    </row>
    <row r="130" spans="2:13" x14ac:dyDescent="0.25">
      <c r="B130" s="4"/>
      <c r="C130" s="1"/>
      <c r="D130" s="1"/>
      <c r="E130" s="1"/>
      <c r="F130" s="1"/>
      <c r="G130" s="1"/>
      <c r="H130" s="1"/>
      <c r="I130" s="1"/>
      <c r="J130" s="1"/>
      <c r="M130" s="5"/>
    </row>
    <row r="131" spans="2:13" x14ac:dyDescent="0.25">
      <c r="B131" s="4"/>
      <c r="C131" s="1"/>
      <c r="D131" s="1"/>
      <c r="E131" s="1"/>
      <c r="F131" s="1"/>
      <c r="G131" s="1"/>
      <c r="H131" s="1"/>
      <c r="I131" s="1"/>
      <c r="J131" s="1"/>
      <c r="M131" s="5"/>
    </row>
    <row r="132" spans="2:13" x14ac:dyDescent="0.25">
      <c r="B132" s="4"/>
      <c r="C132" s="1"/>
      <c r="D132" s="1"/>
      <c r="E132" s="1"/>
      <c r="F132" s="1"/>
      <c r="G132" s="9"/>
      <c r="H132" s="9"/>
      <c r="I132" s="9"/>
      <c r="J132" s="9"/>
      <c r="M132" s="5"/>
    </row>
    <row r="133" spans="2:13" x14ac:dyDescent="0.25">
      <c r="B133" s="4"/>
      <c r="C133" s="1"/>
      <c r="D133" s="1"/>
      <c r="E133" s="1"/>
      <c r="F133" s="1"/>
      <c r="G133" s="11"/>
      <c r="H133" s="11"/>
      <c r="I133" s="11"/>
      <c r="J133" s="11"/>
      <c r="M133" s="5"/>
    </row>
    <row r="134" spans="2:13" x14ac:dyDescent="0.25">
      <c r="B134" s="4"/>
      <c r="C134" s="1"/>
      <c r="D134" s="1"/>
      <c r="E134" s="1"/>
      <c r="F134" s="1"/>
      <c r="G134" s="1"/>
      <c r="H134" s="1"/>
      <c r="I134" s="1"/>
      <c r="J134" s="1"/>
      <c r="M134" s="5"/>
    </row>
    <row r="135" spans="2:13" x14ac:dyDescent="0.25">
      <c r="B135" s="4"/>
      <c r="C135" s="1"/>
      <c r="D135" s="1"/>
      <c r="E135" s="1"/>
      <c r="F135" s="1"/>
      <c r="G135" s="1"/>
      <c r="H135" s="1"/>
      <c r="I135" s="1"/>
      <c r="J135" s="1"/>
      <c r="M135" s="5"/>
    </row>
    <row r="136" spans="2:13" x14ac:dyDescent="0.25">
      <c r="B136" s="10"/>
      <c r="C136" s="9"/>
      <c r="D136" s="9"/>
      <c r="E136" s="9"/>
      <c r="F136" s="9"/>
      <c r="G136" s="1"/>
      <c r="H136" s="1"/>
      <c r="I136" s="1"/>
      <c r="J136" s="1"/>
      <c r="M136" s="5"/>
    </row>
    <row r="137" spans="2:13" x14ac:dyDescent="0.25">
      <c r="B137" s="4"/>
      <c r="C137" s="11"/>
      <c r="D137" s="11"/>
      <c r="E137" s="11"/>
      <c r="F137" s="11"/>
      <c r="G137" s="1"/>
      <c r="H137" s="1"/>
      <c r="I137" s="1"/>
      <c r="J137" s="1"/>
      <c r="M137" s="5"/>
    </row>
    <row r="138" spans="2:13" x14ac:dyDescent="0.25">
      <c r="B138" s="4"/>
      <c r="C138" s="1"/>
      <c r="D138" s="1"/>
      <c r="E138" s="1"/>
      <c r="F138" s="1"/>
      <c r="G138" s="1"/>
      <c r="H138" s="1"/>
      <c r="I138" s="1"/>
      <c r="J138" s="1"/>
      <c r="M138" s="5"/>
    </row>
    <row r="139" spans="2:13" x14ac:dyDescent="0.25">
      <c r="B139" s="4"/>
      <c r="C139" s="1"/>
      <c r="D139" s="1"/>
      <c r="E139" s="1"/>
      <c r="F139" s="1"/>
      <c r="G139" s="1"/>
      <c r="H139" s="1"/>
      <c r="I139" s="1"/>
      <c r="J139" s="1"/>
      <c r="M139" s="5"/>
    </row>
    <row r="140" spans="2:13" x14ac:dyDescent="0.25">
      <c r="B140" s="4"/>
      <c r="C140" s="1"/>
      <c r="D140" s="1"/>
      <c r="E140" s="1"/>
      <c r="F140" s="1"/>
      <c r="G140" s="1"/>
      <c r="H140" s="1"/>
      <c r="I140" s="1"/>
      <c r="J140" s="1"/>
      <c r="M140" s="5"/>
    </row>
    <row r="141" spans="2:13" x14ac:dyDescent="0.25">
      <c r="B141" s="4"/>
      <c r="C141" s="1"/>
      <c r="D141" s="1"/>
      <c r="E141" s="1"/>
      <c r="F141" s="1"/>
      <c r="M141" s="5"/>
    </row>
    <row r="142" spans="2:13" x14ac:dyDescent="0.25">
      <c r="B142" s="4"/>
      <c r="C142" s="1"/>
      <c r="D142" s="1"/>
      <c r="E142" s="1"/>
      <c r="F142" s="1"/>
      <c r="G142" s="8"/>
      <c r="H142" s="8"/>
      <c r="I142" s="8"/>
      <c r="J142" s="8"/>
      <c r="M142" s="5"/>
    </row>
    <row r="143" spans="2:13" x14ac:dyDescent="0.25">
      <c r="B143" s="4"/>
      <c r="C143" s="1"/>
      <c r="D143" s="1"/>
      <c r="E143" s="1"/>
      <c r="F143" s="1"/>
      <c r="G143" s="1"/>
      <c r="H143" s="1"/>
      <c r="I143" s="1"/>
      <c r="J143" s="1"/>
      <c r="M143" s="5"/>
    </row>
    <row r="144" spans="2:13" x14ac:dyDescent="0.25">
      <c r="B144" s="4"/>
      <c r="C144" s="1"/>
      <c r="D144" s="1"/>
      <c r="E144" s="1"/>
      <c r="F144" s="1"/>
      <c r="M144" s="5"/>
    </row>
    <row r="145" spans="2:13" x14ac:dyDescent="0.25">
      <c r="B145" s="4"/>
      <c r="M145" s="5"/>
    </row>
    <row r="146" spans="2:13" x14ac:dyDescent="0.25">
      <c r="B146" s="12"/>
      <c r="C146" s="8"/>
      <c r="D146" s="8"/>
      <c r="E146" s="8"/>
      <c r="F146" s="8"/>
      <c r="M146" s="5"/>
    </row>
    <row r="147" spans="2:13" x14ac:dyDescent="0.25">
      <c r="B147" s="4"/>
      <c r="C147" s="1"/>
      <c r="D147" s="1"/>
      <c r="E147" s="1"/>
      <c r="F147" s="1"/>
      <c r="M147" s="5"/>
    </row>
  </sheetData>
  <mergeCells count="24">
    <mergeCell ref="C116:F116"/>
    <mergeCell ref="C117:F117"/>
    <mergeCell ref="C124:F124"/>
    <mergeCell ref="C125:F125"/>
    <mergeCell ref="C115:F115"/>
    <mergeCell ref="B112:C112"/>
    <mergeCell ref="K14:AO14"/>
    <mergeCell ref="I16:J16"/>
    <mergeCell ref="H16:H17"/>
    <mergeCell ref="H15:J15"/>
    <mergeCell ref="A110:J110"/>
    <mergeCell ref="B14:G16"/>
    <mergeCell ref="AI15:AK15"/>
    <mergeCell ref="AI16:AK16"/>
    <mergeCell ref="AL15:AO15"/>
    <mergeCell ref="X15:AH15"/>
    <mergeCell ref="AM16:AO16"/>
    <mergeCell ref="A109:B109"/>
    <mergeCell ref="A107:F107"/>
    <mergeCell ref="A14:A18"/>
    <mergeCell ref="K15:W16"/>
    <mergeCell ref="X16:AB16"/>
    <mergeCell ref="AC16:AD16"/>
    <mergeCell ref="AE16:AH16"/>
  </mergeCells>
  <phoneticPr fontId="2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JUN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2023-02-06T18:57:16Z</dcterms:modified>
</cp:coreProperties>
</file>